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120" tabRatio="840" activeTab="0"/>
  </bookViews>
  <sheets>
    <sheet name="CIS" sheetId="1" r:id="rId1"/>
    <sheet name="CBS" sheetId="2" r:id="rId2"/>
    <sheet name="CSCE" sheetId="3" r:id="rId3"/>
    <sheet name="CFlow" sheetId="4" r:id="rId4"/>
    <sheet name="PL- Workings" sheetId="5" state="hidden" r:id="rId5"/>
    <sheet name="BS- Workings" sheetId="6" state="hidden" r:id="rId6"/>
    <sheet name="Reserves - Workings" sheetId="7" state="hidden" r:id="rId7"/>
    <sheet name="CF - Workings" sheetId="8" state="hidden" r:id="rId8"/>
    <sheet name="1103PL Workings" sheetId="9" state="hidden" r:id="rId9"/>
    <sheet name="EPS" sheetId="10" state="hidden" r:id="rId10"/>
    <sheet name="Workings" sheetId="11" state="hidden" r:id="rId11"/>
  </sheets>
  <externalReferences>
    <externalReference r:id="rId14"/>
    <externalReference r:id="rId15"/>
    <externalReference r:id="rId16"/>
    <externalReference r:id="rId17"/>
  </externalReferences>
  <definedNames>
    <definedName name="\B">#REF!</definedName>
    <definedName name="\D">#REF!</definedName>
    <definedName name="\F">#REF!</definedName>
    <definedName name="\L">#REF!</definedName>
    <definedName name="\P">#REF!</definedName>
    <definedName name="\Q">#REF!</definedName>
    <definedName name="\R">#REF!</definedName>
    <definedName name="\S">#REF!</definedName>
    <definedName name="\X">#REF!</definedName>
    <definedName name="\Y">#REF!</definedName>
    <definedName name="_0201AUDAV">#REF!</definedName>
    <definedName name="_0201AUDYE">#REF!</definedName>
    <definedName name="_0201GBPAV">#REF!</definedName>
    <definedName name="_0201GBPYE">#REF!</definedName>
    <definedName name="_0201HKDAV">#REF!</definedName>
    <definedName name="_0201HKDYE">#REF!</definedName>
    <definedName name="_0201IDRAV">#REF!</definedName>
    <definedName name="_0201IDRYE">#REF!</definedName>
    <definedName name="_0201PHPAV">#REF!</definedName>
    <definedName name="_0201PHPYE">#REF!</definedName>
    <definedName name="_0201RMBAV">#REF!</definedName>
    <definedName name="_0201RMBYE">#REF!</definedName>
    <definedName name="_0201SGDAV">#REF!</definedName>
    <definedName name="_0201SGDYE">#REF!</definedName>
    <definedName name="_0201USDAV">#REF!</definedName>
    <definedName name="_0201USDYE">#REF!</definedName>
    <definedName name="_0300AUDAV">#REF!</definedName>
    <definedName name="_0300AUDYE">#REF!</definedName>
    <definedName name="_0300GBPAV">#REF!</definedName>
    <definedName name="_0300GBPYE">#REF!</definedName>
    <definedName name="_0300HKDAV">#REF!</definedName>
    <definedName name="_0300HKDYE">#REF!</definedName>
    <definedName name="_0300IDRAV">#REF!</definedName>
    <definedName name="_0300IDRYE">#REF!</definedName>
    <definedName name="_0300PHPAV">#REF!</definedName>
    <definedName name="_0300PHPYE">#REF!</definedName>
    <definedName name="_0300RMBAV">#REF!</definedName>
    <definedName name="_0300RMBYE">#REF!</definedName>
    <definedName name="_0300SGDAV">#REF!</definedName>
    <definedName name="_0300SGDYE">#REF!</definedName>
    <definedName name="_0300USDAV">#REF!</definedName>
    <definedName name="_0300USDYE">#REF!</definedName>
    <definedName name="_0399AUDYE">#REF!</definedName>
    <definedName name="_0399GBPYE">#REF!</definedName>
    <definedName name="_0399HKDYE">#REF!</definedName>
    <definedName name="_0399IDRYE">#REF!</definedName>
    <definedName name="_0399PHPYE">#REF!</definedName>
    <definedName name="_0399RMBYE">#REF!</definedName>
    <definedName name="_0399SGDYE">#REF!</definedName>
    <definedName name="_0399USDYE">#REF!</definedName>
    <definedName name="_0500AUDAV">#REF!</definedName>
    <definedName name="_0500AUDYE">#REF!</definedName>
    <definedName name="_0500GBPAV">#REF!</definedName>
    <definedName name="_0500GBPYE">#REF!</definedName>
    <definedName name="_0500HKDAV">#REF!</definedName>
    <definedName name="_0500HKDYE">#REF!</definedName>
    <definedName name="_0500IDRAV">#REF!</definedName>
    <definedName name="_0500IDRYE">#REF!</definedName>
    <definedName name="_0500PHPAV">#REF!</definedName>
    <definedName name="_0500PHPYE">#REF!</definedName>
    <definedName name="_0500RMBAV">#REF!</definedName>
    <definedName name="_0500RMBYE">#REF!</definedName>
    <definedName name="_0500SGDAV">#REF!</definedName>
    <definedName name="_0500SGDYE">#REF!</definedName>
    <definedName name="_0500USDAV">#REF!</definedName>
    <definedName name="_0500USDYE">#REF!</definedName>
    <definedName name="_0600AUDAV">#REF!</definedName>
    <definedName name="_0600AUDYE">#REF!</definedName>
    <definedName name="_0600GBPAV">#REF!</definedName>
    <definedName name="_0600GBPYE">#REF!</definedName>
    <definedName name="_0600HKDAV">#REF!</definedName>
    <definedName name="_0600HKDYE">#REF!</definedName>
    <definedName name="_0600IDRAV">#REF!</definedName>
    <definedName name="_0600IDRYE">#REF!</definedName>
    <definedName name="_0600PHPAV">#REF!</definedName>
    <definedName name="_0600PHPYE">#REF!</definedName>
    <definedName name="_0600RMBAV">#REF!</definedName>
    <definedName name="_0600RMBYE">#REF!</definedName>
    <definedName name="_0600SGDAV">#REF!</definedName>
    <definedName name="_0600SGDYE">#REF!</definedName>
    <definedName name="_0600USDAV">#REF!</definedName>
    <definedName name="_0600USDYE">#REF!</definedName>
    <definedName name="_0699AUDYE">#REF!</definedName>
    <definedName name="_0699GBPYE">#REF!</definedName>
    <definedName name="_0699HKDYE">#REF!</definedName>
    <definedName name="_0699IDRYE">#REF!</definedName>
    <definedName name="_0699PHPYE">#REF!</definedName>
    <definedName name="_0699RMBYE">#REF!</definedName>
    <definedName name="_0699SGDYE">#REF!</definedName>
    <definedName name="_0699USDYE">#REF!</definedName>
    <definedName name="_0800AUDAV">#REF!</definedName>
    <definedName name="_0800AUDYE">#REF!</definedName>
    <definedName name="_0800GBPAV">#REF!</definedName>
    <definedName name="_0800GBPYE">#REF!</definedName>
    <definedName name="_0800HKDAV">#REF!</definedName>
    <definedName name="_0800HKDYE">#REF!</definedName>
    <definedName name="_0800IDRAV">#REF!</definedName>
    <definedName name="_0800IDRYE">#REF!</definedName>
    <definedName name="_0800PHPAV">#REF!</definedName>
    <definedName name="_0800PHPYE">#REF!</definedName>
    <definedName name="_0800RMBAV">#REF!</definedName>
    <definedName name="_0800RMBYE">#REF!</definedName>
    <definedName name="_0800SGDAV">#REF!</definedName>
    <definedName name="_0800SGDYE">#REF!</definedName>
    <definedName name="_0800USDAV">#REF!</definedName>
    <definedName name="_0800USDYE">#REF!</definedName>
    <definedName name="_0900AUDAV">#REF!</definedName>
    <definedName name="_0900AUDYE">#REF!</definedName>
    <definedName name="_0900GBPAV">#REF!</definedName>
    <definedName name="_0900GBPYE">#REF!</definedName>
    <definedName name="_0900HKDAV">#REF!</definedName>
    <definedName name="_0900HKDYE">#REF!</definedName>
    <definedName name="_0900IDRAV">#REF!</definedName>
    <definedName name="_0900IDRYE">#REF!</definedName>
    <definedName name="_0900PHPAV">#REF!</definedName>
    <definedName name="_0900PHPYE">#REF!</definedName>
    <definedName name="_0900RMBAV">#REF!</definedName>
    <definedName name="_0900RMBYE">#REF!</definedName>
    <definedName name="_0900SGDAV">#REF!</definedName>
    <definedName name="_0900SGDYE">#REF!</definedName>
    <definedName name="_0900USDAV">#REF!</definedName>
    <definedName name="_0900USDYE">#REF!</definedName>
    <definedName name="_0999AUDYE">#REF!</definedName>
    <definedName name="_0999GBPYE">#REF!</definedName>
    <definedName name="_0999HKDYE">#REF!</definedName>
    <definedName name="_0999IDRYE">#REF!</definedName>
    <definedName name="_0999PHPYE">#REF!</definedName>
    <definedName name="_0999RMBYE">#REF!</definedName>
    <definedName name="_0999SGDYE">#REF!</definedName>
    <definedName name="_0999USDYE">#REF!</definedName>
    <definedName name="_099IDRYE">#REF!</definedName>
    <definedName name="_1">#REF!</definedName>
    <definedName name="_1100AUDAV">#REF!</definedName>
    <definedName name="_1100AUDYE">#REF!</definedName>
    <definedName name="_1100HKDAV">#REF!</definedName>
    <definedName name="_1100HKDYE">#REF!</definedName>
    <definedName name="_1100IDRAV">#REF!</definedName>
    <definedName name="_1100IDRYE">#REF!</definedName>
    <definedName name="_1100PHPAV">#REF!</definedName>
    <definedName name="_1100PHPYE">#REF!</definedName>
    <definedName name="_1100RMBAV">#REF!</definedName>
    <definedName name="_1100RMBYE">#REF!</definedName>
    <definedName name="_1100SGDAV">#REF!</definedName>
    <definedName name="_1100SGDYE">#REF!</definedName>
    <definedName name="_1100USDAV">#REF!</definedName>
    <definedName name="_1100USDYE">#REF!</definedName>
    <definedName name="_1199AUDAV">#REF!</definedName>
    <definedName name="_1199AUDYE">#REF!</definedName>
    <definedName name="_1199GBPAV">#REF!</definedName>
    <definedName name="_1199GBPYE">#REF!</definedName>
    <definedName name="_1199HKDAV">#REF!</definedName>
    <definedName name="_1199HKDYE">#REF!</definedName>
    <definedName name="_1199IDRAV">#REF!</definedName>
    <definedName name="_1199IDRYE">#REF!</definedName>
    <definedName name="_1199PHPAV">#REF!</definedName>
    <definedName name="_1199PHPYE">#REF!</definedName>
    <definedName name="_1199RMBAV">#REF!</definedName>
    <definedName name="_1199RMBYE">#REF!</definedName>
    <definedName name="_1199SGDAV">#REF!</definedName>
    <definedName name="_1199SGDYE">#REF!</definedName>
    <definedName name="_1199USDAV">#REF!</definedName>
    <definedName name="_1199USDYE">#REF!</definedName>
    <definedName name="_11HKDYE">#REF!</definedName>
    <definedName name="_1200AUDAV">#REF!</definedName>
    <definedName name="_1200AUDYE">#REF!</definedName>
    <definedName name="_1200GBPAV">#REF!</definedName>
    <definedName name="_1200GBPYE">#REF!</definedName>
    <definedName name="_1200HKDAV">#REF!</definedName>
    <definedName name="_1200HKDYE">#REF!</definedName>
    <definedName name="_1200IDRAV">#REF!</definedName>
    <definedName name="_1200IDRYE">#REF!</definedName>
    <definedName name="_1200PHPAV">#REF!</definedName>
    <definedName name="_1200PHPYE">#REF!</definedName>
    <definedName name="_1200RMBAV">#REF!</definedName>
    <definedName name="_1200RMBYE">#REF!</definedName>
    <definedName name="_1200SGDAV">#REF!</definedName>
    <definedName name="_1200SGDYE">#REF!</definedName>
    <definedName name="_1200USDAV">#REF!</definedName>
    <definedName name="_1200USDYE">#REF!</definedName>
    <definedName name="_1290PHPAV">#REF!</definedName>
    <definedName name="_1290SGDAV">#REF!</definedName>
    <definedName name="_1291PHPAV">#REF!</definedName>
    <definedName name="_1291SGDAV">#REF!</definedName>
    <definedName name="_1292AUDAV">#REF!</definedName>
    <definedName name="_1292HKDAV">#REF!</definedName>
    <definedName name="_1292PHPAV">#REF!</definedName>
    <definedName name="_1292SGDAV">#REF!</definedName>
    <definedName name="_1293AUDAV">#REF!</definedName>
    <definedName name="_1293HKDAV">#REF!</definedName>
    <definedName name="_1293PHPAV">#REF!</definedName>
    <definedName name="_1293SGDAV">#REF!</definedName>
    <definedName name="_1294AUDAV">#REF!</definedName>
    <definedName name="_1294HKDAV">#REF!</definedName>
    <definedName name="_1294PHPAV">#REF!</definedName>
    <definedName name="_1294SGDAV">#REF!</definedName>
    <definedName name="_1295AUDAV">#REF!</definedName>
    <definedName name="_1295HKDAV">#REF!</definedName>
    <definedName name="_1295IDRAV">#REF!</definedName>
    <definedName name="_1295PHPAV">#REF!</definedName>
    <definedName name="_1295RMBAV">#REF!</definedName>
    <definedName name="_1295SGDAV">#REF!</definedName>
    <definedName name="_1296AUDAV">#REF!</definedName>
    <definedName name="_1296HKDAV">#REF!</definedName>
    <definedName name="_1296IDRAV">#REF!</definedName>
    <definedName name="_1296PHPAV">#REF!</definedName>
    <definedName name="_1296RMBAV">#REF!</definedName>
    <definedName name="_1296SGDAV">#REF!</definedName>
    <definedName name="_1297AUDAV">#REF!</definedName>
    <definedName name="_1297GBP">#REF!</definedName>
    <definedName name="_1297GBPAV">#REF!</definedName>
    <definedName name="_1297HKDAV">#REF!</definedName>
    <definedName name="_1297IDRAV">#REF!</definedName>
    <definedName name="_1297PHPAV">#REF!</definedName>
    <definedName name="_1297RMBAV">#REF!</definedName>
    <definedName name="_1297SGDAV">#REF!</definedName>
    <definedName name="_1297USDAV">#REF!</definedName>
    <definedName name="_1298AUDAV">#REF!</definedName>
    <definedName name="_1298AUDYE">#REF!</definedName>
    <definedName name="_1298GBPAV">#REF!</definedName>
    <definedName name="_1298GBPYE">#REF!</definedName>
    <definedName name="_1298HKDAV">#REF!</definedName>
    <definedName name="_1298HKDYE">#REF!</definedName>
    <definedName name="_1298IDRAV">#REF!</definedName>
    <definedName name="_1298IDRYE">#REF!</definedName>
    <definedName name="_1298PHPAV">#REF!</definedName>
    <definedName name="_1298PHPYE">#REF!</definedName>
    <definedName name="_1298RMBAV">#REF!</definedName>
    <definedName name="_1298RMBYE">#REF!</definedName>
    <definedName name="_1298SGDAV">#REF!</definedName>
    <definedName name="_1298SGDYE">#REF!</definedName>
    <definedName name="_1298USDAV">#REF!</definedName>
    <definedName name="_1298USDYE">#REF!</definedName>
    <definedName name="_1299AUDAV">#REF!</definedName>
    <definedName name="_1299AUDYE">#REF!</definedName>
    <definedName name="_1299GBPAV">#REF!</definedName>
    <definedName name="_1299GBPYE">#REF!</definedName>
    <definedName name="_1299HKDAV">#REF!</definedName>
    <definedName name="_1299HKDYE">#REF!</definedName>
    <definedName name="_1299IDRAV">#REF!</definedName>
    <definedName name="_1299IDRYE">#REF!</definedName>
    <definedName name="_1299PHPAV">#REF!</definedName>
    <definedName name="_1299PHPYE">#REF!</definedName>
    <definedName name="_1299RMBAV">#REF!</definedName>
    <definedName name="_1299RMBYE">#REF!</definedName>
    <definedName name="_1299SGDAV">#REF!</definedName>
    <definedName name="_1299SGDYE">#REF!</definedName>
    <definedName name="_1299USDAV">#REF!</definedName>
    <definedName name="_1299USDYE">#REF!</definedName>
    <definedName name="_2000AUDP">#REF!</definedName>
    <definedName name="_2000HKDP">#REF!</definedName>
    <definedName name="_2000IDRP">#REF!</definedName>
    <definedName name="_2000PHPP">#REF!</definedName>
    <definedName name="_2000RMBP">#REF!</definedName>
    <definedName name="_2000SGDP">#REF!</definedName>
    <definedName name="_2000USDP">#REF!</definedName>
    <definedName name="_2001AUDP">#REF!</definedName>
    <definedName name="_2001HKDP">#REF!</definedName>
    <definedName name="_2001IDRP">#REF!</definedName>
    <definedName name="_2001PHPP">#REF!</definedName>
    <definedName name="_2001RMBP">#REF!</definedName>
    <definedName name="_2001SGDP">#REF!</definedName>
    <definedName name="_2001USDP">#REF!</definedName>
    <definedName name="_200AUDAV">#REF!</definedName>
    <definedName name="_200AUDYE">#REF!</definedName>
    <definedName name="_200GBPAV">#REF!</definedName>
    <definedName name="_200GBPYE">#REF!</definedName>
    <definedName name="_200HKDAV">#REF!</definedName>
    <definedName name="_200HKDYE">#REF!</definedName>
    <definedName name="_200IDRAV">#REF!</definedName>
    <definedName name="_200IDRYE">#REF!</definedName>
    <definedName name="_200PHPAV">#REF!</definedName>
    <definedName name="_200PHPYE">#REF!</definedName>
    <definedName name="_200RMBAV">#REF!</definedName>
    <definedName name="_200RMBYE">#REF!</definedName>
    <definedName name="_200SGDAV">#REF!</definedName>
    <definedName name="_200SGDYE">#REF!</definedName>
    <definedName name="_200USDAV">#REF!</definedName>
    <definedName name="_200USDYE">#REF!</definedName>
    <definedName name="_398AUDAV">#REF!</definedName>
    <definedName name="_398GBPAV">#REF!</definedName>
    <definedName name="_398HKDAV">#REF!</definedName>
    <definedName name="_398IDRAV">#REF!</definedName>
    <definedName name="_398PHPAV">#REF!</definedName>
    <definedName name="_398RMBAV">#REF!</definedName>
    <definedName name="_398SGDAV">#REF!</definedName>
    <definedName name="_398USDAV">#REF!</definedName>
    <definedName name="_399AUDAV">#REF!</definedName>
    <definedName name="_399GBPAV">#REF!</definedName>
    <definedName name="_399HKDAV">#REF!</definedName>
    <definedName name="_399IDRAV">#REF!</definedName>
    <definedName name="_399PHPAV">#REF!</definedName>
    <definedName name="_399RMBAV">#REF!</definedName>
    <definedName name="_399SGDAV">#REF!</definedName>
    <definedName name="_399USDAV">#REF!</definedName>
    <definedName name="_698AUDAV">#REF!</definedName>
    <definedName name="_698GBPAV">#REF!</definedName>
    <definedName name="_698HKDAV">#REF!</definedName>
    <definedName name="_698IDRAV">#REF!</definedName>
    <definedName name="_698PHPAV">#REF!</definedName>
    <definedName name="_698RMBAV">#REF!</definedName>
    <definedName name="_698SGDAV">#REF!</definedName>
    <definedName name="_698USDAV">#REF!</definedName>
    <definedName name="_699AUDAV">#REF!</definedName>
    <definedName name="_699GBPAV">#REF!</definedName>
    <definedName name="_699HKDAV">#REF!</definedName>
    <definedName name="_699IDRAV">#REF!</definedName>
    <definedName name="_699PHPAV">#REF!</definedName>
    <definedName name="_699RMBAV">#REF!</definedName>
    <definedName name="_699SGDAV">#REF!</definedName>
    <definedName name="_699USDAV">#REF!</definedName>
    <definedName name="_899AUDAV">#REF!</definedName>
    <definedName name="_899AUDYE">#REF!</definedName>
    <definedName name="_899GBPAV">#REF!</definedName>
    <definedName name="_899GBPYE">#REF!</definedName>
    <definedName name="_899HKDAV">#REF!</definedName>
    <definedName name="_899HKDYE">#REF!</definedName>
    <definedName name="_899IDRAV">#REF!</definedName>
    <definedName name="_899IDRYE">#REF!</definedName>
    <definedName name="_899PHPAV">#REF!</definedName>
    <definedName name="_899PHPYE">#REF!</definedName>
    <definedName name="_899RMBAV">#REF!</definedName>
    <definedName name="_899RMBYE">#REF!</definedName>
    <definedName name="_899SGDAV">#REF!</definedName>
    <definedName name="_899SGDYE">#REF!</definedName>
    <definedName name="_899USDAV">#REF!</definedName>
    <definedName name="_899USDYE">#REF!</definedName>
    <definedName name="_998AUDAV">#REF!</definedName>
    <definedName name="_998GBPAV">#REF!</definedName>
    <definedName name="_998HKDAV">#REF!</definedName>
    <definedName name="_998IDRAV">#REF!</definedName>
    <definedName name="_998PHPAV">#REF!</definedName>
    <definedName name="_998RMBAV">#REF!</definedName>
    <definedName name="_998SGDAV">#REF!</definedName>
    <definedName name="_998USDAV">#REF!</definedName>
    <definedName name="_999AUDAV">#REF!</definedName>
    <definedName name="_999GBPAV">#REF!</definedName>
    <definedName name="_999HKDAV">#REF!</definedName>
    <definedName name="_999IDRAV">#REF!</definedName>
    <definedName name="_999PHPAV">#REF!</definedName>
    <definedName name="_999RMBAV">#REF!</definedName>
    <definedName name="_999SGDAV">#REF!</definedName>
    <definedName name="_999USDAV">#REF!</definedName>
    <definedName name="ANCOM">#REF!</definedName>
    <definedName name="ANCOM1">#REF!</definedName>
    <definedName name="ANCOM1A">#REF!</definedName>
    <definedName name="ANCOMA">#REF!</definedName>
    <definedName name="Ann1">#REF!</definedName>
    <definedName name="ANN1A">#REF!</definedName>
    <definedName name="ANN2">#REF!</definedName>
    <definedName name="ANN2A">#REF!</definedName>
    <definedName name="ann3">#REF!</definedName>
    <definedName name="ann3a">#REF!</definedName>
    <definedName name="ann3b">#REF!</definedName>
    <definedName name="ann3c">#REF!</definedName>
    <definedName name="audav0202">#REF!</definedName>
    <definedName name="AUDAV0203">#REF!</definedName>
    <definedName name="AUDav0204">#REF!</definedName>
    <definedName name="audav0501">#REF!</definedName>
    <definedName name="AUDAV0502">#REF!</definedName>
    <definedName name="AUDAV0503">#REF!</definedName>
    <definedName name="AUDAV0801">#REF!</definedName>
    <definedName name="AUDAV0802">#REF!</definedName>
    <definedName name="AUDav0803">#REF!</definedName>
    <definedName name="audav1101">#REF!</definedName>
    <definedName name="AUDAV1102">#REF!</definedName>
    <definedName name="AUDav1103">#REF!</definedName>
    <definedName name="audye0202">#REF!</definedName>
    <definedName name="AUDYE0203">#REF!</definedName>
    <definedName name="AUDYE0204">#REF!</definedName>
    <definedName name="AUDYE0502">#REF!</definedName>
    <definedName name="AUDYE0503">#REF!</definedName>
    <definedName name="AUDYE0801">#REF!</definedName>
    <definedName name="AUDYE0802">#REF!</definedName>
    <definedName name="AUDYE0803">#REF!</definedName>
    <definedName name="audye1101">#REF!</definedName>
    <definedName name="AUDYE1102">#REF!</definedName>
    <definedName name="AUDYE1103">#REF!</definedName>
    <definedName name="BSHEET1">#REF!</definedName>
    <definedName name="BSHEET10">#REF!</definedName>
    <definedName name="BSHEET11">#REF!</definedName>
    <definedName name="BSHEET12">#REF!</definedName>
    <definedName name="BSHEET2">#REF!</definedName>
    <definedName name="BSHEET3">#REF!</definedName>
    <definedName name="BSHEET4">#REF!</definedName>
    <definedName name="BSHEET5">#REF!</definedName>
    <definedName name="BSHEET6">#REF!</definedName>
    <definedName name="BSHEET7">#REF!</definedName>
    <definedName name="BSHEET8">#REF!</definedName>
    <definedName name="BSHEET9">#REF!</definedName>
    <definedName name="DIVD">#REF!</definedName>
    <definedName name="DIVD1">#REF!</definedName>
    <definedName name="DPL">#REF!</definedName>
    <definedName name="DPL1">#REF!</definedName>
    <definedName name="FYFC">#REF!</definedName>
    <definedName name="FYFC2A">#REF!</definedName>
    <definedName name="FYFC2B">#REF!</definedName>
    <definedName name="FYFC3A">#REF!</definedName>
    <definedName name="FYFC3B">#REF!</definedName>
    <definedName name="FYFCA">#REF!</definedName>
    <definedName name="FYFCA1">#REF!</definedName>
    <definedName name="FYFCC">#REF!</definedName>
    <definedName name="FYFCC1">#REF!</definedName>
    <definedName name="GBPav0202">#REF!</definedName>
    <definedName name="GBPav0203">#REF!</definedName>
    <definedName name="GBPAV0204">#REF!</definedName>
    <definedName name="gbpav0501">#REF!</definedName>
    <definedName name="GBPAV0502">#REF!</definedName>
    <definedName name="GBPAV0503">#REF!</definedName>
    <definedName name="GBPAV0801">#REF!</definedName>
    <definedName name="GBPAV0802">#REF!</definedName>
    <definedName name="GBPAV0803">#REF!</definedName>
    <definedName name="gbpav1101">#REF!</definedName>
    <definedName name="GBPav1102">#REF!</definedName>
    <definedName name="GBPAV1103">#REF!</definedName>
    <definedName name="gbpye0202">#REF!</definedName>
    <definedName name="GBPYE0203">#REF!</definedName>
    <definedName name="GBPYE0204">#REF!</definedName>
    <definedName name="GBPYE0502">#REF!</definedName>
    <definedName name="GBPYE0503">#REF!</definedName>
    <definedName name="GBPYE0801">#REF!</definedName>
    <definedName name="GBPYE0802">#REF!</definedName>
    <definedName name="GBPYE0803">#REF!</definedName>
    <definedName name="gbpye1101">#REF!</definedName>
    <definedName name="GBPYE1102">#REF!</definedName>
    <definedName name="GBPYE1103">#REF!</definedName>
    <definedName name="hkdav0202">#REF!</definedName>
    <definedName name="HKDAV0203">#REF!</definedName>
    <definedName name="HKDAV0204">#REF!</definedName>
    <definedName name="hkdav0501">#REF!</definedName>
    <definedName name="HKDAV0502">#REF!</definedName>
    <definedName name="HKDAV0503">#REF!</definedName>
    <definedName name="HKDAV0801">#REF!</definedName>
    <definedName name="HKDAV0802">#REF!</definedName>
    <definedName name="HKDAV0803">#REF!</definedName>
    <definedName name="hkdav1101">#REF!</definedName>
    <definedName name="HKDAV1102">#REF!</definedName>
    <definedName name="HKDAV1103">#REF!</definedName>
    <definedName name="hkdye0202">#REF!</definedName>
    <definedName name="HKDYE0203">#REF!</definedName>
    <definedName name="HKDYE0204">#REF!</definedName>
    <definedName name="HKDYE0502">#REF!</definedName>
    <definedName name="HKDYE0503">#REF!</definedName>
    <definedName name="HKDYE0801">#REF!</definedName>
    <definedName name="HKDYE0802">#REF!</definedName>
    <definedName name="HKDYE0803">#REF!</definedName>
    <definedName name="hkdye1101">#REF!</definedName>
    <definedName name="HKDYE1102">#REF!</definedName>
    <definedName name="HKDYE1103">#REF!</definedName>
    <definedName name="idrav0202">#REF!</definedName>
    <definedName name="IDRAV0203">#REF!</definedName>
    <definedName name="IDRAV0204">#REF!</definedName>
    <definedName name="idrav0501">#REF!</definedName>
    <definedName name="IDRAV0502">#REF!</definedName>
    <definedName name="IDRAV0503">#REF!</definedName>
    <definedName name="IDRAV0801">#REF!</definedName>
    <definedName name="IDRAV0802">#REF!</definedName>
    <definedName name="IDRAV0803">#REF!</definedName>
    <definedName name="idrav1101">#REF!</definedName>
    <definedName name="IDRAV1102">#REF!</definedName>
    <definedName name="IDRAV1103">#REF!</definedName>
    <definedName name="idrye0202">#REF!</definedName>
    <definedName name="IDRYE0203">#REF!</definedName>
    <definedName name="IDRYE0204">#REF!</definedName>
    <definedName name="IDRYE0502">#REF!</definedName>
    <definedName name="IDRYE0503">#REF!</definedName>
    <definedName name="IDRYE0801">#REF!</definedName>
    <definedName name="IDRYE0802">#REF!</definedName>
    <definedName name="IDRYE0803">#REF!</definedName>
    <definedName name="idrye1101">#REF!</definedName>
    <definedName name="IDRYE1102">#REF!</definedName>
    <definedName name="IDRYE1103">#REF!</definedName>
    <definedName name="NYLEX">#REF!</definedName>
    <definedName name="nylex1">#REF!</definedName>
    <definedName name="nylex2">#REF!</definedName>
    <definedName name="NYLEXC1">#REF!</definedName>
    <definedName name="NYLEXC2">#REF!</definedName>
    <definedName name="PBIT">#REF!</definedName>
    <definedName name="phpav0202">#REF!</definedName>
    <definedName name="PHPAV0203">#REF!</definedName>
    <definedName name="PHPAV0204">#REF!</definedName>
    <definedName name="phpav0501">#REF!</definedName>
    <definedName name="PHPAV0502">#REF!</definedName>
    <definedName name="PHPAV0503">#REF!</definedName>
    <definedName name="PHPAV0801">#REF!</definedName>
    <definedName name="PHPAV0802">#REF!</definedName>
    <definedName name="PHPAV0803">#REF!</definedName>
    <definedName name="phpav1101">#REF!</definedName>
    <definedName name="PHPAV1102">#REF!</definedName>
    <definedName name="PHPav1103">#REF!</definedName>
    <definedName name="phpye0202">#REF!</definedName>
    <definedName name="PHPYE0203">#REF!</definedName>
    <definedName name="PHPYE0204">#REF!</definedName>
    <definedName name="PHPYE0502">#REF!</definedName>
    <definedName name="PHPYE0503">#REF!</definedName>
    <definedName name="PHPYE0801">#REF!</definedName>
    <definedName name="PHPYE0802">#REF!</definedName>
    <definedName name="PHPYE0803">#REF!</definedName>
    <definedName name="phpye1101">#REF!</definedName>
    <definedName name="PHPYE1102">#REF!</definedName>
    <definedName name="PHPYE1103">#REF!</definedName>
    <definedName name="_xlnm.Print_Area" localSheetId="1">'CBS'!$B$4:$J$65</definedName>
    <definedName name="_xlnm.Print_Area" localSheetId="3">'CFlow'!$B$2:$J$61</definedName>
    <definedName name="_xlnm.Print_Area" localSheetId="0">'CIS'!$B$2:$I$53</definedName>
    <definedName name="_xlnm.Print_Area" localSheetId="2">'CSCE'!$B$2:$F$49</definedName>
    <definedName name="Qr1">#REF!</definedName>
    <definedName name="qr2">#REF!</definedName>
    <definedName name="QRSUM">#REF!</definedName>
    <definedName name="QRSUM1">#REF!</definedName>
    <definedName name="QRTREND">#REF!</definedName>
    <definedName name="QRTREND1">#REF!</definedName>
    <definedName name="rmbav0202">#REF!</definedName>
    <definedName name="RMBAV0203">#REF!</definedName>
    <definedName name="RMBAV0204">#REF!</definedName>
    <definedName name="rmbav0501">#REF!</definedName>
    <definedName name="RMBAV0502">#REF!</definedName>
    <definedName name="RMBAV0503">#REF!</definedName>
    <definedName name="RMBAV0801">#REF!</definedName>
    <definedName name="RMBAV0802">#REF!</definedName>
    <definedName name="RMBAV0803">#REF!</definedName>
    <definedName name="rmbav1101">#REF!</definedName>
    <definedName name="RMBAV1102">#REF!</definedName>
    <definedName name="RMBAV1103">#REF!</definedName>
    <definedName name="rmbye0202">#REF!</definedName>
    <definedName name="RMBYE0203">#REF!</definedName>
    <definedName name="RMBYE0204">#REF!</definedName>
    <definedName name="RMBYE0502">#REF!</definedName>
    <definedName name="RMBYE0503">#REF!</definedName>
    <definedName name="RMBYE0801">#REF!</definedName>
    <definedName name="RMBYE0802">#REF!</definedName>
    <definedName name="RMBYE0803">#REF!</definedName>
    <definedName name="rmbye1101">#REF!</definedName>
    <definedName name="RMBYE1102">#REF!</definedName>
    <definedName name="RMBYE1103">#REF!</definedName>
    <definedName name="sgdav0202">#REF!</definedName>
    <definedName name="SGDAV0203">#REF!</definedName>
    <definedName name="SGDAV0204">#REF!</definedName>
    <definedName name="sgdav0501">#REF!</definedName>
    <definedName name="SGDAV0502">#REF!</definedName>
    <definedName name="SGDAV0503">#REF!</definedName>
    <definedName name="SGDAV0801">#REF!</definedName>
    <definedName name="SGDAV0802">#REF!</definedName>
    <definedName name="SGDAV0803">#REF!</definedName>
    <definedName name="sgdav1101">#REF!</definedName>
    <definedName name="SGDAV1102">#REF!</definedName>
    <definedName name="SGDAV1103">#REF!</definedName>
    <definedName name="sgdye0202">#REF!</definedName>
    <definedName name="SGDYE0203">#REF!</definedName>
    <definedName name="SGDYE0204">#REF!</definedName>
    <definedName name="SGDYE0502">#REF!</definedName>
    <definedName name="SGDYE0503">#REF!</definedName>
    <definedName name="SGDYE0801">#REF!</definedName>
    <definedName name="SGDYE0802">#REF!</definedName>
    <definedName name="SGDYE0803">#REF!</definedName>
    <definedName name="sgdye1101">#REF!</definedName>
    <definedName name="SGDYE1102">#REF!</definedName>
    <definedName name="SGDYE1103">#REF!</definedName>
    <definedName name="Sum1">#REF!</definedName>
    <definedName name="sum2">#REF!</definedName>
    <definedName name="sum3">#REF!</definedName>
    <definedName name="usdav0202">#REF!</definedName>
    <definedName name="USDAV0203">#REF!</definedName>
    <definedName name="USDAV0204">#REF!</definedName>
    <definedName name="usdav0501">#REF!</definedName>
    <definedName name="USDAV0502">#REF!</definedName>
    <definedName name="USDAV0503">#REF!</definedName>
    <definedName name="USDAV0801">#REF!</definedName>
    <definedName name="USDAV0802">#REF!</definedName>
    <definedName name="USDAV0803">#REF!</definedName>
    <definedName name="usdav1101">#REF!</definedName>
    <definedName name="USDAV1102">#REF!</definedName>
    <definedName name="USDav1103">#REF!</definedName>
    <definedName name="usdye0202">#REF!</definedName>
    <definedName name="USDYE0203">#REF!</definedName>
    <definedName name="USDYE0204">#REF!</definedName>
    <definedName name="USDYE0502">#REF!</definedName>
    <definedName name="USDYE0503">#REF!</definedName>
    <definedName name="USDYE0801">#REF!</definedName>
    <definedName name="USDYE0802">#REF!</definedName>
    <definedName name="USDYE0803">#REF!</definedName>
    <definedName name="usdye1101">#REF!</definedName>
    <definedName name="USDYE1102">#REF!</definedName>
    <definedName name="USDYE1103">#REF!</definedName>
  </definedNames>
  <calcPr fullCalcOnLoad="1"/>
</workbook>
</file>

<file path=xl/sharedStrings.xml><?xml version="1.0" encoding="utf-8"?>
<sst xmlns="http://schemas.openxmlformats.org/spreadsheetml/2006/main" count="1193" uniqueCount="579">
  <si>
    <t>FY 2004</t>
  </si>
  <si>
    <t>Share</t>
  </si>
  <si>
    <t>capital</t>
  </si>
  <si>
    <t>profits</t>
  </si>
  <si>
    <t>Translation</t>
  </si>
  <si>
    <t>reserve</t>
  </si>
  <si>
    <t>Long term bank borrowings</t>
  </si>
  <si>
    <t>Hire purchase creditors (payable after the next 12 months)</t>
  </si>
  <si>
    <t>(Incorporated in Malaysia)</t>
  </si>
  <si>
    <t>Net profit for the period attributable to shareholders</t>
  </si>
  <si>
    <t>CONDENSED CONSOLIDATED INCOME STATEMENTS</t>
  </si>
  <si>
    <t>Revenue</t>
  </si>
  <si>
    <t>Other operating income</t>
  </si>
  <si>
    <t>CONDENSED CONSOLIDATED BALANCE SHEET</t>
  </si>
  <si>
    <t>CONDENSED CONSOLIDATED STATEMENT OF CHANGES IN EQUITY</t>
  </si>
  <si>
    <t>Distributable</t>
  </si>
  <si>
    <t>Retained</t>
  </si>
  <si>
    <t>CONDENSED CONSOLIDATED CASH FLOW STATEMENT</t>
  </si>
  <si>
    <t>ended</t>
  </si>
  <si>
    <t>Interest paid</t>
  </si>
  <si>
    <t xml:space="preserve">  Interest income</t>
  </si>
  <si>
    <t xml:space="preserve">  Interest expense</t>
  </si>
  <si>
    <t>Minority interest</t>
  </si>
  <si>
    <t>Property, plant and equipment</t>
  </si>
  <si>
    <t>Development expenditure</t>
  </si>
  <si>
    <t>Bank overdrafts</t>
  </si>
  <si>
    <t>Selling and distribution expenses</t>
  </si>
  <si>
    <t>Administrative expenses</t>
  </si>
  <si>
    <t>Other operating expenses</t>
  </si>
  <si>
    <t>Changes in working capital</t>
  </si>
  <si>
    <t>Net profit for the period</t>
  </si>
  <si>
    <t>Reserves</t>
  </si>
  <si>
    <t>Cumulative Quarter</t>
  </si>
  <si>
    <t>RM'000</t>
  </si>
  <si>
    <t>Taxation</t>
  </si>
  <si>
    <t>N/A</t>
  </si>
  <si>
    <t>As at</t>
  </si>
  <si>
    <t>Assets Employed</t>
  </si>
  <si>
    <t>Investments</t>
  </si>
  <si>
    <t>Future income tax benefits</t>
  </si>
  <si>
    <t>Goodwill arising on consolidation</t>
  </si>
  <si>
    <t>Current assets</t>
  </si>
  <si>
    <t>Trade debtors</t>
  </si>
  <si>
    <t>Other debtors, deposits and prepayments</t>
  </si>
  <si>
    <t>Amount owing by related companies</t>
  </si>
  <si>
    <t>Short-term deposits</t>
  </si>
  <si>
    <t>Cash and bank balances</t>
  </si>
  <si>
    <t>Current liabilities</t>
  </si>
  <si>
    <t>Short-term borrowings</t>
  </si>
  <si>
    <t>Trade creditors</t>
  </si>
  <si>
    <t>Other creditors and accrued expenses</t>
  </si>
  <si>
    <t>Provision for taxation</t>
  </si>
  <si>
    <t>Amount owing to related companies</t>
  </si>
  <si>
    <t>Net current assets</t>
  </si>
  <si>
    <t>Financed By</t>
  </si>
  <si>
    <t>Share capital</t>
  </si>
  <si>
    <t>Shareholders' funds</t>
  </si>
  <si>
    <t>Deferred taxation</t>
  </si>
  <si>
    <t>Provision for retirement benefits</t>
  </si>
  <si>
    <t>THE FIGURES HAVE NOT BEEN AUDITED</t>
  </si>
  <si>
    <t>Finance cost</t>
  </si>
  <si>
    <t>Total</t>
  </si>
  <si>
    <t>Dividends</t>
  </si>
  <si>
    <t>Cost of Sales</t>
  </si>
  <si>
    <t>Gross Profit</t>
  </si>
  <si>
    <t>Profit before taxation</t>
  </si>
  <si>
    <t>Individual Quarter</t>
  </si>
  <si>
    <t>Dividends payable</t>
  </si>
  <si>
    <t>Balance as at 1 June 2003</t>
  </si>
  <si>
    <t>(Unaudited)</t>
  </si>
  <si>
    <t>(Audited)</t>
  </si>
  <si>
    <t>Net Tangible Assets per share (RM)</t>
  </si>
  <si>
    <t>The Cash and Cash Equivalents comprise:</t>
  </si>
  <si>
    <t>Currency translation differences</t>
  </si>
  <si>
    <t xml:space="preserve">Earnings per share </t>
  </si>
  <si>
    <t xml:space="preserve"> - basic (sen)</t>
  </si>
  <si>
    <t xml:space="preserve"> - diluted (sen)</t>
  </si>
  <si>
    <t>Adjustments for non-cash items</t>
  </si>
  <si>
    <t>Operating profit before working capital changes</t>
  </si>
  <si>
    <t>Cash Flows From Operating Activities</t>
  </si>
  <si>
    <t>Cash and Cash Equivalents at end of  period</t>
  </si>
  <si>
    <t>Cash Flows From Investing Activities</t>
  </si>
  <si>
    <t>Cash Flows From Financing Activities</t>
  </si>
  <si>
    <t>Term loans and advances</t>
  </si>
  <si>
    <t>Cash and Cash Equivalents at beginning of year</t>
  </si>
  <si>
    <t>Effects of Exchange Rate Changes</t>
  </si>
  <si>
    <t>Inventories</t>
  </si>
  <si>
    <t>TAMCO CORPORATE HOLDINGS BERHAD</t>
  </si>
  <si>
    <t>Issued of shares</t>
  </si>
  <si>
    <t>Redemption of preference shares</t>
  </si>
  <si>
    <t>Share of results of associates</t>
  </si>
  <si>
    <t>Non- Distributable</t>
  </si>
  <si>
    <t>(Company No : 6614-W)</t>
  </si>
  <si>
    <t>Unquoted associate</t>
  </si>
  <si>
    <t>Net cash (used in) /generated from operating activities</t>
  </si>
  <si>
    <t>Net Cash Generated From /(Used In) Investing Activities</t>
  </si>
  <si>
    <t>Net Cash Generated From /(Used In) Financing Activities</t>
  </si>
  <si>
    <t>Net Increase /(Decrease) in Cash and Cash Equivalents</t>
  </si>
  <si>
    <t>Retained profits</t>
  </si>
  <si>
    <t>31.08.2004</t>
  </si>
  <si>
    <t>31.08.2003</t>
  </si>
  <si>
    <t>FY 2005</t>
  </si>
  <si>
    <t>Balance as at 1 June 2004</t>
  </si>
  <si>
    <t>30.11.2004</t>
  </si>
  <si>
    <t>28.02.2005</t>
  </si>
  <si>
    <t>31.05.2005</t>
  </si>
  <si>
    <t>28.02.2004</t>
  </si>
  <si>
    <t>30.11.2003</t>
  </si>
  <si>
    <t>31.05.2004</t>
  </si>
  <si>
    <t>YTD</t>
  </si>
  <si>
    <t>GROUP/COMPANY : TAMCO CORPORATE HOLDINGS BERHAD</t>
  </si>
  <si>
    <t>SCHEDULE 1</t>
  </si>
  <si>
    <t>Completed</t>
  </si>
  <si>
    <t>PLEASE SPECIFY THE CURRENCY USED:  RINGGIT MALAYSIA</t>
  </si>
  <si>
    <t>INCOME STATEMENT</t>
  </si>
  <si>
    <t>FOR THE FINANCIAL PERIOD ENDED :  30 November 2004</t>
  </si>
  <si>
    <t>Cross</t>
  </si>
  <si>
    <t>Budgeted FY2005</t>
  </si>
  <si>
    <t>Variance</t>
  </si>
  <si>
    <t>(A)</t>
  </si>
  <si>
    <t>(B)</t>
  </si>
  <si>
    <t>(A) - (B)</t>
  </si>
  <si>
    <t>Ref</t>
  </si>
  <si>
    <t>Line</t>
  </si>
  <si>
    <t>$</t>
  </si>
  <si>
    <t>%</t>
  </si>
  <si>
    <t>Cost of sales</t>
  </si>
  <si>
    <t>Gross profit / (loss)</t>
  </si>
  <si>
    <t>(Line 1-2)</t>
  </si>
  <si>
    <t xml:space="preserve">Other operating income </t>
  </si>
  <si>
    <t xml:space="preserve"> - investment income</t>
  </si>
  <si>
    <t xml:space="preserve"> -  Interest income (other than revenue income)</t>
  </si>
  <si>
    <t xml:space="preserve"> - others (please provide breakdown)</t>
  </si>
  <si>
    <t>Distribution cost</t>
  </si>
  <si>
    <t>Depreciation of fixed assets</t>
  </si>
  <si>
    <t>Sch 4&lt;1/3&gt;/15</t>
  </si>
  <si>
    <t>Amortisation of other intangible assets</t>
  </si>
  <si>
    <t>Sch 4&lt;1/3&gt;/5</t>
  </si>
  <si>
    <t>Amortisation of goodwill</t>
  </si>
  <si>
    <t>Profit / (Loss) from operations</t>
  </si>
  <si>
    <t>(Line 3+4+5+6-7-8-9-10-11-12)</t>
  </si>
  <si>
    <t>Interest on borrowings</t>
  </si>
  <si>
    <t>Sch 4&lt;1/3/&gt;/32</t>
  </si>
  <si>
    <t>Share of profit/(loss) of associated companies</t>
  </si>
  <si>
    <t>Exceptional items</t>
  </si>
  <si>
    <t>Profit / (Loss) before tax and minority interests</t>
  </si>
  <si>
    <t>(Line 13-14+15+16+17)</t>
  </si>
  <si>
    <t>Sch 6/16</t>
  </si>
  <si>
    <t>Profit / (Loss) after tax before minority interests</t>
  </si>
  <si>
    <t>(Line 18-19)</t>
  </si>
  <si>
    <t>Minority interests</t>
  </si>
  <si>
    <t>Sch 14/17</t>
  </si>
  <si>
    <t>Net profit / (loss) from ordinary activities</t>
  </si>
  <si>
    <t>(Line 20-21)</t>
  </si>
  <si>
    <t>Extraordinary items</t>
  </si>
  <si>
    <t>Profit/(Loss) attributable to shareholders of the Company</t>
  </si>
  <si>
    <t xml:space="preserve"> (Line 22-23)</t>
  </si>
  <si>
    <t>Sch 8/9</t>
  </si>
  <si>
    <t>Unappropriated profit/(Accumulated loss) b/fwd</t>
  </si>
  <si>
    <t>Sch 8/1</t>
  </si>
  <si>
    <t>Prior year adjustment</t>
  </si>
  <si>
    <t>Sch 7</t>
  </si>
  <si>
    <t xml:space="preserve"> </t>
  </si>
  <si>
    <t>As restated</t>
  </si>
  <si>
    <t>Transfer from/(to) reserves</t>
  </si>
  <si>
    <t>Sch 8/13</t>
  </si>
  <si>
    <t>Profit/(loss) available for appropriation</t>
  </si>
  <si>
    <t xml:space="preserve">  Interim -           % less tax at          %</t>
  </si>
  <si>
    <t xml:space="preserve">  Final     -           % less tax at          %</t>
  </si>
  <si>
    <t>Unappropriated profit/(Accumulated loss) c/f</t>
  </si>
  <si>
    <t>SCHEDULE 3&lt;1/2&gt;</t>
  </si>
  <si>
    <t>BALANCE SHEET AS AT : 31 November 2004</t>
  </si>
  <si>
    <t>TCH</t>
  </si>
  <si>
    <t>TI</t>
  </si>
  <si>
    <t>TM</t>
  </si>
  <si>
    <t>TG</t>
  </si>
  <si>
    <t>TSS</t>
  </si>
  <si>
    <t>KRI</t>
  </si>
  <si>
    <t>UMK</t>
  </si>
  <si>
    <t>TEIA</t>
  </si>
  <si>
    <t xml:space="preserve">MANUFACTURING </t>
  </si>
  <si>
    <t>TEM</t>
  </si>
  <si>
    <t>TES</t>
  </si>
  <si>
    <t>TSH</t>
  </si>
  <si>
    <t>TEHK</t>
  </si>
  <si>
    <t>TRADING</t>
  </si>
  <si>
    <t>TOTAL</t>
  </si>
  <si>
    <t>DECOM</t>
  </si>
  <si>
    <t>ADJUSTMENT</t>
  </si>
  <si>
    <t>GROUP</t>
  </si>
  <si>
    <t xml:space="preserve">LEAVE </t>
  </si>
  <si>
    <t>RM</t>
  </si>
  <si>
    <t>RMB</t>
  </si>
  <si>
    <t>IDR'000</t>
  </si>
  <si>
    <t>AUD</t>
  </si>
  <si>
    <t>SGD</t>
  </si>
  <si>
    <t>HKD</t>
  </si>
  <si>
    <t>BLANK</t>
  </si>
  <si>
    <t>SHARE CAPITAL</t>
  </si>
  <si>
    <t>RESERVES</t>
  </si>
  <si>
    <t>Share premium</t>
  </si>
  <si>
    <t>Sch 8</t>
  </si>
  <si>
    <t>Revaluation reserves/Capital reserves</t>
  </si>
  <si>
    <t>Exchange fluctuation reserves</t>
  </si>
  <si>
    <t>General reserves</t>
  </si>
  <si>
    <t>Unappropriated profits/(Accumulated loss) c/fwd</t>
  </si>
  <si>
    <t>Other reserves</t>
  </si>
  <si>
    <t>Sub-total</t>
  </si>
  <si>
    <t>SHAREHOLDERS' FUNDS</t>
  </si>
  <si>
    <t>MINORITY INTERESTS</t>
  </si>
  <si>
    <t>Sch 14</t>
  </si>
  <si>
    <t>DEFERRED AND LONG TERM LIABILITIES</t>
  </si>
  <si>
    <t>Borrowings</t>
  </si>
  <si>
    <t>Sch 9&lt;1/3&gt;</t>
  </si>
  <si>
    <t>Employee Benefits/Retirement Benefits</t>
  </si>
  <si>
    <t>Sch 10</t>
  </si>
  <si>
    <t>Hire purchase and finance lease creditors</t>
  </si>
  <si>
    <t>Sch 11</t>
  </si>
  <si>
    <t>Sch 12/9</t>
  </si>
  <si>
    <t>Total Deferred and Long Term Liabilities</t>
  </si>
  <si>
    <t>CURRENT LIABILITIES</t>
  </si>
  <si>
    <t>Trade payables</t>
  </si>
  <si>
    <t>Other payables &amp; provisions</t>
  </si>
  <si>
    <t>Sch 9&lt;2/3&gt;</t>
  </si>
  <si>
    <t>Amount owing to holding company</t>
  </si>
  <si>
    <t>Sch 23</t>
  </si>
  <si>
    <t>Amount owing to subsidiaries</t>
  </si>
  <si>
    <t>Amount owing to associated companies</t>
  </si>
  <si>
    <t>Sch 18&lt;3/3&gt;</t>
  </si>
  <si>
    <t>Sch 13</t>
  </si>
  <si>
    <t>Proposed dividend (net)</t>
  </si>
  <si>
    <t xml:space="preserve">   1st interim -           % less tax at          %</t>
  </si>
  <si>
    <t xml:space="preserve">   2nd interim -           % less tax at          %</t>
  </si>
  <si>
    <t>Total Current Liabilities</t>
  </si>
  <si>
    <t>TOTAL LIABILITIES (Line 9+10+11+16+26)</t>
  </si>
  <si>
    <t>SCHEDULE 3&lt;2/2&gt;</t>
  </si>
  <si>
    <t xml:space="preserve">PLEASE SPECIFY THE CURRENCY USED:  </t>
  </si>
  <si>
    <t>LEAVE</t>
  </si>
  <si>
    <t>PROPERTY, PLANT &amp; EQUIPMENT</t>
  </si>
  <si>
    <t>Sch 15&lt;2/2&gt;</t>
  </si>
  <si>
    <t>INVESTMENT PROPERTIES</t>
  </si>
  <si>
    <t>Sch 16</t>
  </si>
  <si>
    <t>INVESTMENT IN SUBSIDIARY COMPANIES</t>
  </si>
  <si>
    <t>Sch 17&lt;1/2&gt;</t>
  </si>
  <si>
    <t>INVESTMENT IN ASSOCIATED COMPANIES</t>
  </si>
  <si>
    <t>Sch 18&lt;1/3&gt;</t>
  </si>
  <si>
    <t>LONG TERM INVESTMENTS</t>
  </si>
  <si>
    <t>Sch 20&lt;1/4&gt;</t>
  </si>
  <si>
    <t>DEVELOPMENT PROPERTIES</t>
  </si>
  <si>
    <t>Sch 21</t>
  </si>
  <si>
    <t>INTANGIBLE ASSETS</t>
  </si>
  <si>
    <t>Sch 19</t>
  </si>
  <si>
    <t>GOODWILL ON CONSOLIDATION</t>
  </si>
  <si>
    <t>CURRENT ASSETS</t>
  </si>
  <si>
    <t>Development properties</t>
  </si>
  <si>
    <t>Stocks and contract work-in-progress</t>
  </si>
  <si>
    <t>Trade receivable</t>
  </si>
  <si>
    <t>Sch 22</t>
  </si>
  <si>
    <t>Other receivables, prepayments &amp; deposits</t>
  </si>
  <si>
    <t>Cash and bank balances and fixed deposits</t>
  </si>
  <si>
    <t>Short term investments</t>
  </si>
  <si>
    <t>Tax recoverable</t>
  </si>
  <si>
    <t>Sch 13 &lt;2/2&gt;</t>
  </si>
  <si>
    <t>Amount owing by holding companies</t>
  </si>
  <si>
    <t>Amount owing by subsidiaries</t>
  </si>
  <si>
    <t>Amount owing by associated companies</t>
  </si>
  <si>
    <t>Total Current Assets</t>
  </si>
  <si>
    <t>TOTAL ASSETS (Line 1+2+3+4+5+6+7+8+9+22)</t>
  </si>
  <si>
    <t>30.11.03</t>
  </si>
  <si>
    <t>30.11.04</t>
  </si>
  <si>
    <t>FOR THE FINANCIAL QUARTER ENDED 30 NOVEMBER 2004</t>
  </si>
  <si>
    <t>As at 30 November 2004</t>
  </si>
  <si>
    <t>Minority Interest</t>
  </si>
  <si>
    <t>SCHEDULE 8</t>
  </si>
  <si>
    <t>AS AT : 30 November 2004</t>
  </si>
  <si>
    <t>&lt;----------------------  NON - DISTRIBUTABLE  -------------------------&gt;</t>
  </si>
  <si>
    <t>&lt;-------------------  DISTRIBUTABLE ---------------------&gt;</t>
  </si>
  <si>
    <t xml:space="preserve">Share </t>
  </si>
  <si>
    <t>Revaluation</t>
  </si>
  <si>
    <t xml:space="preserve">Exchange </t>
  </si>
  <si>
    <t>Capital</t>
  </si>
  <si>
    <t>General</t>
  </si>
  <si>
    <t>Unappropriated profits/</t>
  </si>
  <si>
    <t>Other</t>
  </si>
  <si>
    <t>Premium</t>
  </si>
  <si>
    <t>Fluctuation</t>
  </si>
  <si>
    <t>Reserve</t>
  </si>
  <si>
    <t>(Accumulated Loss)</t>
  </si>
  <si>
    <t>c/fwd</t>
  </si>
  <si>
    <t>At beginning of the year/period</t>
  </si>
  <si>
    <t>Changes in accounting policy</t>
  </si>
  <si>
    <t>Surplus/(Deficit) on revaluation of properties</t>
  </si>
  <si>
    <t>Surplus/(Deficit) on revaluation of investment</t>
  </si>
  <si>
    <t>Others (please specify)</t>
  </si>
  <si>
    <t>Net gain / (losses) not</t>
  </si>
  <si>
    <t>recognised in Income Statement</t>
  </si>
  <si>
    <t>Net profit / (loss) for the year</t>
  </si>
  <si>
    <t>Sch 1/24</t>
  </si>
  <si>
    <t xml:space="preserve">Dividends </t>
  </si>
  <si>
    <t>Transfers between reserves/retained earnings</t>
  </si>
  <si>
    <t>Sch 1/28</t>
  </si>
  <si>
    <t xml:space="preserve">At the end of the year/period </t>
  </si>
  <si>
    <t xml:space="preserve"> (As per Balance Sheet)</t>
  </si>
  <si>
    <t>Ref  3&lt;1/2&gt;/2</t>
  </si>
  <si>
    <t>Ref  3&lt;1/2&gt;/3</t>
  </si>
  <si>
    <t>Ref  3&lt;1/2&gt;/4</t>
  </si>
  <si>
    <t>Ref 2&lt;1/2&gt;/5</t>
  </si>
  <si>
    <t>Ref  3&lt;1/2&gt;/6</t>
  </si>
  <si>
    <t>Ref  3&lt;1/2&gt;/7</t>
  </si>
  <si>
    <t>Ref  3&lt;1/2&gt;/8</t>
  </si>
  <si>
    <t>(Note 1)</t>
  </si>
  <si>
    <t>Note 1:-</t>
  </si>
  <si>
    <t>Retained earnings/(Accumulated losses)</t>
  </si>
  <si>
    <t>Retained by:-</t>
  </si>
  <si>
    <t xml:space="preserve">  The Company</t>
  </si>
  <si>
    <t xml:space="preserve">  Subsidiary companies</t>
  </si>
  <si>
    <t xml:space="preserve">  Associated companies</t>
  </si>
  <si>
    <t xml:space="preserve">  TOTAL</t>
  </si>
  <si>
    <t>Balance as at 31 November 2004</t>
  </si>
  <si>
    <t>For the period ended 30 November 2004</t>
  </si>
  <si>
    <t>Period ended 30 November 2004</t>
  </si>
  <si>
    <t>SCHEDULE 27&lt;1/2&gt;</t>
  </si>
  <si>
    <t xml:space="preserve">CASH FLOW STATEMENT </t>
  </si>
  <si>
    <t>CASH FLOW FROM OPERATING ACTIVITIES</t>
  </si>
  <si>
    <t xml:space="preserve">Profit/(loss) before taxation </t>
  </si>
  <si>
    <t>Adjustments for:</t>
  </si>
  <si>
    <t>Loss/(Profit) on sale of investment</t>
  </si>
  <si>
    <t>Amortisation of intangible asset</t>
  </si>
  <si>
    <t>Amortisation of preliminary and pre-operating expenses</t>
  </si>
  <si>
    <t>Fixed assets written off</t>
  </si>
  <si>
    <t>Interest expenses</t>
  </si>
  <si>
    <t>Interest income</t>
  </si>
  <si>
    <t>Dividend income</t>
  </si>
  <si>
    <t>Foreign exchange loss/(gain)</t>
  </si>
  <si>
    <t>provision for annual leave</t>
  </si>
  <si>
    <t>Share in results in associated company</t>
  </si>
  <si>
    <t>Loss on disposal of assets</t>
  </si>
  <si>
    <t>Operating profit/(loss) before working capital changes</t>
  </si>
  <si>
    <t>Dec/(Inc) in trade &amp; other receivables</t>
  </si>
  <si>
    <t>Dec/(Inc) in development properties</t>
  </si>
  <si>
    <t>Dec/(Inc) in inventories</t>
  </si>
  <si>
    <t>Inc/(Dec) in trade &amp; other payables</t>
  </si>
  <si>
    <t>Dec/(Inc) in Group companies</t>
  </si>
  <si>
    <t>Cash generated from/(used in) operations</t>
  </si>
  <si>
    <t>Income taxes paid</t>
  </si>
  <si>
    <t>Interest Received</t>
  </si>
  <si>
    <t>Retirement benefits paid</t>
  </si>
  <si>
    <t>Addition to development expenditure</t>
  </si>
  <si>
    <t>Movement in translation adjustment account</t>
  </si>
  <si>
    <t>Net cash generated  from/(used in) operating activities</t>
  </si>
  <si>
    <t>CASH FLOWS FROM INVESTING ACTIVITIES</t>
  </si>
  <si>
    <t>Purchase of investments</t>
  </si>
  <si>
    <t>Purchase of fixed assets</t>
  </si>
  <si>
    <t>Purchase of intangible assets</t>
  </si>
  <si>
    <t>Proceed from sale of investment</t>
  </si>
  <si>
    <t>Proceeds from sale of fixed assets</t>
  </si>
  <si>
    <t>Interest received</t>
  </si>
  <si>
    <t>Dividends received</t>
  </si>
  <si>
    <t>Other (Please specify)</t>
  </si>
  <si>
    <t>Net cash generated from/(used in) investing activities</t>
  </si>
  <si>
    <t>CASH FLOWS FROM FINANCING ACTIVITIES</t>
  </si>
  <si>
    <t>Proceeds from borrowings</t>
  </si>
  <si>
    <t>Proceed from issuance of shares</t>
  </si>
  <si>
    <t>Dividend paid on share capital</t>
  </si>
  <si>
    <t>Repayment for bank borrowings</t>
  </si>
  <si>
    <t>Payment for finance lease liabilities</t>
  </si>
  <si>
    <t>Net cash generated from/(used in) financing activities</t>
  </si>
  <si>
    <t>Net increase in cash and cash equivalents</t>
  </si>
  <si>
    <t>Cash and cash equivalents brought forward</t>
  </si>
  <si>
    <t>Cash and cash equivalents carried forward</t>
  </si>
  <si>
    <t>Sch 27&lt;2/2&gt;/4</t>
  </si>
  <si>
    <t xml:space="preserve"> SCHEDULE 27&lt;2/2&gt; </t>
  </si>
  <si>
    <t>CASH AND CASH EQUIVALENTS</t>
  </si>
  <si>
    <t>Cash and cash equivalents are analysed as follows:-</t>
  </si>
  <si>
    <t>Fixed deposits with Licensed Bank *</t>
  </si>
  <si>
    <t>Cash and Bank Balances</t>
  </si>
  <si>
    <t xml:space="preserve">  (including bank overdrafts)</t>
  </si>
  <si>
    <t>Effect of exchange rate changes</t>
  </si>
  <si>
    <t>Cash and cash equivalents as stated</t>
  </si>
  <si>
    <t>* Fixed deposits pledged / charged are to be excluded from cash and cash equivalent</t>
  </si>
  <si>
    <t>Period</t>
  </si>
  <si>
    <t xml:space="preserve">Consol for Tamco Group </t>
  </si>
  <si>
    <t>Statement of Profit &amp; Loss account for the period ended 30/11/2003</t>
  </si>
  <si>
    <t>Total TCH Group</t>
  </si>
  <si>
    <t>Adj</t>
  </si>
  <si>
    <t>Adj Total TCH Group</t>
  </si>
  <si>
    <t>TEEM</t>
  </si>
  <si>
    <t>TEEH</t>
  </si>
  <si>
    <t>Total TEE Group</t>
  </si>
  <si>
    <t>Adj Total TEE Group</t>
  </si>
  <si>
    <t>Grand Total (TCH &amp; TEE)</t>
  </si>
  <si>
    <t xml:space="preserve">Average : </t>
  </si>
  <si>
    <t>Sales - External</t>
  </si>
  <si>
    <t>CJE11</t>
  </si>
  <si>
    <t>Sales - Interco</t>
  </si>
  <si>
    <t>CJE5</t>
  </si>
  <si>
    <t>CJE6</t>
  </si>
  <si>
    <t>Total Sales</t>
  </si>
  <si>
    <t>Less : Cost of Sales</t>
  </si>
  <si>
    <t>CJE7</t>
  </si>
  <si>
    <t>Contribution Margin</t>
  </si>
  <si>
    <t>Less : Overheads</t>
  </si>
  <si>
    <t>Factory Overheads</t>
  </si>
  <si>
    <t>Sales Overheads</t>
  </si>
  <si>
    <t>Administration Overheads</t>
  </si>
  <si>
    <t>CJE10</t>
  </si>
  <si>
    <t>Distribution Overheads</t>
  </si>
  <si>
    <t>Other Overheads</t>
  </si>
  <si>
    <t>CJE1</t>
  </si>
  <si>
    <t>CJE8</t>
  </si>
  <si>
    <t>CJE13</t>
  </si>
  <si>
    <t>Share of Associate Profit / (loss)</t>
  </si>
  <si>
    <t>Sundry Income</t>
  </si>
  <si>
    <t>CJE4</t>
  </si>
  <si>
    <t>CJE3</t>
  </si>
  <si>
    <t>Dividend Received</t>
  </si>
  <si>
    <t>Profit Before Interest and Tax</t>
  </si>
  <si>
    <t>Interest Income</t>
  </si>
  <si>
    <t>Interest - Internal</t>
  </si>
  <si>
    <t>Interest - External</t>
  </si>
  <si>
    <t>Profit Before Tax</t>
  </si>
  <si>
    <t>Profit after Tax</t>
  </si>
  <si>
    <t>CJE2</t>
  </si>
  <si>
    <t>Profit &amp; Loss for the Period</t>
  </si>
  <si>
    <t>Retained profit/(loss) b/f</t>
  </si>
  <si>
    <t>C5</t>
  </si>
  <si>
    <t>Profit available for appropriation</t>
  </si>
  <si>
    <t>Dividend</t>
  </si>
  <si>
    <t>Retain profit / (loss) c/f</t>
  </si>
  <si>
    <t>Adj Total</t>
  </si>
  <si>
    <t>Acquisition of interest in subsidiaries</t>
  </si>
  <si>
    <t>Acquisition of interest in associates</t>
  </si>
  <si>
    <t>Proceeds from disposal of Fixed Assets</t>
  </si>
  <si>
    <t>Purchase of Fixed Assets</t>
  </si>
  <si>
    <t>Dividend received from associate</t>
  </si>
  <si>
    <t>Dividend paid to preference shareholders of the company</t>
  </si>
  <si>
    <t>Hire purchase &amp; finance lease payment</t>
  </si>
  <si>
    <t>Kok Soo Fong (E-mail)</t>
  </si>
  <si>
    <t>Period ended 30 November 2003</t>
  </si>
  <si>
    <t>Balance as at 30 November 2003</t>
  </si>
  <si>
    <t>-</t>
  </si>
  <si>
    <t>Eliminations</t>
  </si>
  <si>
    <t>Consolidated</t>
  </si>
  <si>
    <t>External Sales</t>
  </si>
  <si>
    <t>Total Revenue</t>
  </si>
  <si>
    <t>Amortisation of Goodwill</t>
  </si>
  <si>
    <t>Operating Profit</t>
  </si>
  <si>
    <t>INCOME STATEMENTS</t>
  </si>
  <si>
    <t>FOR THE PERIOD ENDED 30 NOVEMBER 2004</t>
  </si>
  <si>
    <t>Operating revenue</t>
  </si>
  <si>
    <t>Gross profit</t>
  </si>
  <si>
    <t>Profit / (loss) from operations</t>
  </si>
  <si>
    <t>Finance Income</t>
  </si>
  <si>
    <t>Finance costs</t>
  </si>
  <si>
    <t>Operating profit / (loss)</t>
  </si>
  <si>
    <t>Profit / (loss) before taxation</t>
  </si>
  <si>
    <t>Profit / (loss) after taxation</t>
  </si>
  <si>
    <t>Profit / (loss) for the year</t>
  </si>
  <si>
    <t xml:space="preserve">Gross dividend per ordinary </t>
  </si>
  <si>
    <t>share (sen)</t>
  </si>
  <si>
    <t>BALANCE SHEETS</t>
  </si>
  <si>
    <t>NON-CURRENT ASSETS</t>
  </si>
  <si>
    <t>Investment in subsidiaries</t>
  </si>
  <si>
    <t>Investment in associates</t>
  </si>
  <si>
    <t>Intangible assets</t>
  </si>
  <si>
    <t>Goodwill on consolidation</t>
  </si>
  <si>
    <t>Receivables</t>
  </si>
  <si>
    <t>Others Receivables, Prepayment , Deposit</t>
  </si>
  <si>
    <t>Amount owing to immediate</t>
  </si>
  <si>
    <t>holding company</t>
  </si>
  <si>
    <t>Amount owing by associates</t>
  </si>
  <si>
    <t>Short term deposits with licensed</t>
  </si>
  <si>
    <t>banks</t>
  </si>
  <si>
    <t>Payables</t>
  </si>
  <si>
    <t>Other payables and accruals</t>
  </si>
  <si>
    <t>Amount owing to associates</t>
  </si>
  <si>
    <t>Dividend payable</t>
  </si>
  <si>
    <t>NET CURRENT LIABILITIES</t>
  </si>
  <si>
    <t>REPRESENTED BY:</t>
  </si>
  <si>
    <t>Retained profit</t>
  </si>
  <si>
    <t>Deferred tax liabilities</t>
  </si>
  <si>
    <t>Retirement benefit obligations</t>
  </si>
  <si>
    <t>Provision for Annual Leave</t>
  </si>
  <si>
    <t>CONSOLIDATED CASHFLOW STATEMENT</t>
  </si>
  <si>
    <t>COMPANY</t>
  </si>
  <si>
    <t xml:space="preserve">Acquisition of interest in associates </t>
  </si>
  <si>
    <t>Other investments</t>
  </si>
  <si>
    <t>Proceed from share issued</t>
  </si>
  <si>
    <t>Culmulative Quarter</t>
  </si>
  <si>
    <t>Current</t>
  </si>
  <si>
    <t>Prior Year</t>
  </si>
  <si>
    <t>Taxation based on the result for the period</t>
  </si>
  <si>
    <t xml:space="preserve">Current </t>
  </si>
  <si>
    <t>Malaysia</t>
  </si>
  <si>
    <t>Foreign</t>
  </si>
  <si>
    <t>Deferred</t>
  </si>
  <si>
    <t>Deferred tax rate change</t>
  </si>
  <si>
    <t>Deferred tax benefit</t>
  </si>
  <si>
    <t>Over/(under) provision in prior year</t>
  </si>
  <si>
    <t>Short Term Borrowing</t>
  </si>
  <si>
    <t>Unsecured</t>
  </si>
  <si>
    <t>Ringit Malaysia</t>
  </si>
  <si>
    <t>US Dollar</t>
  </si>
  <si>
    <t>Hong Kong Dollar</t>
  </si>
  <si>
    <t>Singapore Dollar</t>
  </si>
  <si>
    <t>Chinese Renminbi</t>
  </si>
  <si>
    <t>Australia Dollar</t>
  </si>
  <si>
    <t>Long Term Borrowing</t>
  </si>
  <si>
    <t>Secured</t>
  </si>
  <si>
    <t>Coporate Guarantees given to financial institutions for</t>
  </si>
  <si>
    <t>facilities granted to subsidiary</t>
  </si>
  <si>
    <t>SEGMENT INFORMATION - INDUSTRY</t>
  </si>
  <si>
    <t>FOR THE PERIOD ENDED 31 AUGUST 2004</t>
  </si>
  <si>
    <t xml:space="preserve">Manufacturing </t>
  </si>
  <si>
    <t>Distribution</t>
  </si>
  <si>
    <t>&amp; Design</t>
  </si>
  <si>
    <t>Intersegment Sales</t>
  </si>
  <si>
    <t>Segment Result</t>
  </si>
  <si>
    <t>Interest Expense</t>
  </si>
  <si>
    <t>Share of Associate Profit/(Losses)</t>
  </si>
  <si>
    <t>Profit before tax</t>
  </si>
  <si>
    <t>Profit after tax</t>
  </si>
  <si>
    <t>Net profit after tax</t>
  </si>
  <si>
    <t>Group Borrowings</t>
  </si>
  <si>
    <t>TAMCO CORPORATE HOLDINGS BERHAD GROUP</t>
  </si>
  <si>
    <t>Prepared by: SSS 6/7/04</t>
  </si>
  <si>
    <t>YEAR ENDED 31 MAY 2004</t>
  </si>
  <si>
    <t>CALCULATION OF EPS</t>
  </si>
  <si>
    <t>Number of</t>
  </si>
  <si>
    <t xml:space="preserve">No of </t>
  </si>
  <si>
    <t>shares</t>
  </si>
  <si>
    <t>days</t>
  </si>
  <si>
    <t>A</t>
  </si>
  <si>
    <t>B</t>
  </si>
  <si>
    <t>(A X B)/ C</t>
  </si>
  <si>
    <t>June 03</t>
  </si>
  <si>
    <t>July 03</t>
  </si>
  <si>
    <t>Aug 03</t>
  </si>
  <si>
    <t>Sep 03</t>
  </si>
  <si>
    <t>Oct 03</t>
  </si>
  <si>
    <t>Nov 03</t>
  </si>
  <si>
    <t>Dec 03</t>
  </si>
  <si>
    <t>Jan 04</t>
  </si>
  <si>
    <t>Feb 04</t>
  </si>
  <si>
    <t>Mac 04</t>
  </si>
  <si>
    <t>Apr 04</t>
  </si>
  <si>
    <t>May 04</t>
  </si>
  <si>
    <t>C</t>
  </si>
  <si>
    <t>Weighted average number of shares</t>
  </si>
  <si>
    <t>Profit after tax (Group)</t>
  </si>
  <si>
    <t>&lt;B&gt;</t>
  </si>
  <si>
    <t>Basic EPS</t>
  </si>
  <si>
    <t>sen</t>
  </si>
  <si>
    <t>2nd. Financial Quarter Ended 30 November 2003 (RM'000)</t>
  </si>
  <si>
    <t>6 Months Ended 30 November 2004 (RM'000)</t>
  </si>
  <si>
    <t>3 Months Ended 31 August 2004 (RM'000)</t>
  </si>
  <si>
    <t>2nd. FinancialQuarter Ended 30 November 2004 (RM'000)</t>
  </si>
  <si>
    <t>31.05.04</t>
  </si>
  <si>
    <t>As at 30.11.04 (RM'000 Equivalent)</t>
  </si>
  <si>
    <t>As at 31.05.04 (RM'000 Equivalent)</t>
  </si>
  <si>
    <t>Proceed from bond issues</t>
  </si>
  <si>
    <t>Other - Decom Limited</t>
  </si>
  <si>
    <t>(The Condensed Consolidated Cash Flow Statements should be read in conjunction with the Company's Annual Financial Statements for the year ended 31 May 2004)</t>
  </si>
  <si>
    <t>(The Condensed Consolidated Income Statements should be read in conjunction with the Company's Annual Financial Statements for the year ended 31 May 2004)</t>
  </si>
  <si>
    <t>(The Condensed Consolidated Balance Sheet should be read in conjunction with the Company's Annual Financial Statements for the year ended 31 May 2004)</t>
  </si>
  <si>
    <t>(The Condensed Consolidated Statement of Changes in Equity should be read in conjunction with the Company's Annual Financial Statements for the year ended 31 May 2004)</t>
  </si>
  <si>
    <t>(Loss) / Profit from operations</t>
  </si>
  <si>
    <t>(Loss) / Profit before taxation</t>
  </si>
  <si>
    <t>(Loss) / Profit after taxation</t>
  </si>
  <si>
    <t>Net Cash (Used In) / Generated From Investing Activities</t>
  </si>
  <si>
    <t>Net cash (used in) operating activities</t>
  </si>
  <si>
    <t>Net Cash Generated From Financing Activities</t>
  </si>
  <si>
    <t>Net (Decrease)/ Increase in Cash and Cash Equivalents</t>
  </si>
  <si>
    <t>1st Financial Quarter Ended 31 August 2003 (RM'000)</t>
  </si>
  <si>
    <t>6 Months Ended 30 November 2003 (RM'000)</t>
  </si>
  <si>
    <t>Operating Loss</t>
  </si>
  <si>
    <t>Loss before tax</t>
  </si>
  <si>
    <t>Loss after tax</t>
  </si>
  <si>
    <t>Net Loss after tax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</si>
</sst>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mm/dd/yy_)"/>
    <numFmt numFmtId="179" formatCode="0.0%"/>
    <numFmt numFmtId="180" formatCode="#,##0.0_);\(#,##0.0\)"/>
    <numFmt numFmtId="181" formatCode="#,##0.0000_);\(#,##0.0000\)"/>
    <numFmt numFmtId="182" formatCode="#,##0.000_);\(#,##0.000\)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0.000%"/>
    <numFmt numFmtId="186" formatCode="_(* #,##0.0_);_(* \(#,##0.0\);_(* &quot;-&quot;_);_(@_)"/>
    <numFmt numFmtId="187" formatCode="_(* #,##0.00_);_(* \(#,##0.00\);_(* &quot;-&quot;_);_(@_)"/>
    <numFmt numFmtId="188" formatCode="_(* #,##0_);_(* \(#,##0\);_(* &quot;-&quot;??_);_(@_)"/>
    <numFmt numFmtId="189" formatCode="0_);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(* #,##0.0_);_(* \(#,##0.0\);_(* &quot;-&quot;??_);_(@_)"/>
    <numFmt numFmtId="194" formatCode="_(* #,##0.000_);_(* \(#,##0.000\);_(* &quot;-&quot;??_);_(@_)"/>
    <numFmt numFmtId="195" formatCode="#,##0.0_);[Red]\(#,##0.0\)"/>
    <numFmt numFmtId="196" formatCode="0.0%;[Red]\(0.0%\)"/>
    <numFmt numFmtId="197" formatCode="General_)"/>
    <numFmt numFmtId="198" formatCode="dd\.mm\.yyyy"/>
    <numFmt numFmtId="199" formatCode="_-* #,##0_-;\-* #,##0_-;_-* &quot;-&quot;??_-;_-@_-"/>
    <numFmt numFmtId="200" formatCode="_(* #,##0.00000_);_(* \(#,##0.00000\);_(* &quot;-&quot;??_);_(@_)"/>
    <numFmt numFmtId="201" formatCode="\ #,##0;\ \(#,##0\);&quot; -     &quot;"/>
    <numFmt numFmtId="202" formatCode="_(* #,##0_);_(* \(#,##0\);_(* &quot;        -&quot;??_);_(@_)"/>
    <numFmt numFmtId="203" formatCode="_(* #,##0.00000_);_(* \(#,##0.00000\);_(* &quot;        -&quot;??_);_(@_)"/>
  </numFmts>
  <fonts count="21">
    <font>
      <sz val="12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Helv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0"/>
    </font>
    <font>
      <b/>
      <sz val="12"/>
      <name val="Times New Roman"/>
      <family val="1"/>
    </font>
    <font>
      <sz val="12"/>
      <name val="Times New Roman"/>
      <family val="0"/>
    </font>
    <font>
      <sz val="10"/>
      <color indexed="8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4">
    <xf numFmtId="197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592">
    <xf numFmtId="37" fontId="0" fillId="2" borderId="0" xfId="0" applyAlignment="1">
      <alignment/>
    </xf>
    <xf numFmtId="37" fontId="0" fillId="3" borderId="0" xfId="0" applyFill="1" applyAlignment="1">
      <alignment/>
    </xf>
    <xf numFmtId="37" fontId="0" fillId="4" borderId="0" xfId="0" applyFill="1" applyAlignment="1">
      <alignment/>
    </xf>
    <xf numFmtId="37" fontId="0" fillId="4" borderId="0" xfId="0" applyFill="1" applyBorder="1" applyAlignment="1">
      <alignment/>
    </xf>
    <xf numFmtId="37" fontId="2" fillId="4" borderId="0" xfId="0" applyFont="1" applyFill="1" applyAlignment="1">
      <alignment/>
    </xf>
    <xf numFmtId="37" fontId="3" fillId="4" borderId="0" xfId="0" applyFont="1" applyFill="1" applyAlignment="1">
      <alignment horizontal="center"/>
    </xf>
    <xf numFmtId="169" fontId="0" fillId="4" borderId="0" xfId="0" applyNumberFormat="1" applyFill="1" applyAlignment="1">
      <alignment/>
    </xf>
    <xf numFmtId="37" fontId="3" fillId="4" borderId="0" xfId="0" applyFont="1" applyFill="1" applyBorder="1" applyAlignment="1">
      <alignment horizontal="center"/>
    </xf>
    <xf numFmtId="37" fontId="3" fillId="4" borderId="0" xfId="0" applyFont="1" applyFill="1" applyAlignment="1">
      <alignment/>
    </xf>
    <xf numFmtId="37" fontId="0" fillId="0" borderId="0" xfId="0" applyFill="1" applyAlignment="1">
      <alignment/>
    </xf>
    <xf numFmtId="37" fontId="2" fillId="0" borderId="0" xfId="0" applyFont="1" applyFill="1" applyAlignment="1">
      <alignment/>
    </xf>
    <xf numFmtId="37" fontId="2" fillId="4" borderId="0" xfId="0" applyFont="1" applyFill="1" applyBorder="1" applyAlignment="1">
      <alignment/>
    </xf>
    <xf numFmtId="37" fontId="0" fillId="0" borderId="1" xfId="0" applyFill="1" applyBorder="1" applyAlignment="1">
      <alignment/>
    </xf>
    <xf numFmtId="37" fontId="0" fillId="0" borderId="2" xfId="0" applyFill="1" applyBorder="1" applyAlignment="1">
      <alignment/>
    </xf>
    <xf numFmtId="188" fontId="2" fillId="4" borderId="0" xfId="15" applyNumberFormat="1" applyFont="1" applyFill="1" applyBorder="1" applyAlignment="1">
      <alignment horizontal="right"/>
    </xf>
    <xf numFmtId="188" fontId="2" fillId="4" borderId="0" xfId="15" applyNumberFormat="1" applyFont="1" applyFill="1" applyAlignment="1">
      <alignment/>
    </xf>
    <xf numFmtId="188" fontId="2" fillId="4" borderId="0" xfId="15" applyNumberFormat="1" applyFont="1" applyFill="1" applyAlignment="1">
      <alignment horizontal="center"/>
    </xf>
    <xf numFmtId="188" fontId="2" fillId="4" borderId="3" xfId="15" applyNumberFormat="1" applyFont="1" applyFill="1" applyBorder="1" applyAlignment="1">
      <alignment/>
    </xf>
    <xf numFmtId="188" fontId="2" fillId="3" borderId="0" xfId="0" applyNumberFormat="1" applyFont="1" applyFill="1" applyBorder="1" applyAlignment="1">
      <alignment/>
    </xf>
    <xf numFmtId="37" fontId="2" fillId="4" borderId="0" xfId="0" applyFont="1" applyFill="1" applyAlignment="1">
      <alignment horizontal="center"/>
    </xf>
    <xf numFmtId="37" fontId="6" fillId="4" borderId="0" xfId="0" applyFont="1" applyFill="1" applyAlignment="1">
      <alignment/>
    </xf>
    <xf numFmtId="37" fontId="2" fillId="4" borderId="0" xfId="0" applyFont="1" applyFill="1" applyAlignment="1" quotePrefix="1">
      <alignment horizontal="center"/>
    </xf>
    <xf numFmtId="37" fontId="3" fillId="4" borderId="0" xfId="0" applyFont="1" applyFill="1" applyAlignment="1" quotePrefix="1">
      <alignment horizontal="center"/>
    </xf>
    <xf numFmtId="37" fontId="7" fillId="4" borderId="0" xfId="0" applyFont="1" applyFill="1" applyAlignment="1">
      <alignment horizontal="center"/>
    </xf>
    <xf numFmtId="37" fontId="3" fillId="4" borderId="0" xfId="0" applyFont="1" applyFill="1" applyAlignment="1" quotePrefix="1">
      <alignment horizontal="right"/>
    </xf>
    <xf numFmtId="37" fontId="3" fillId="4" borderId="0" xfId="0" applyFont="1" applyFill="1" applyAlignment="1">
      <alignment horizontal="right"/>
    </xf>
    <xf numFmtId="37" fontId="2" fillId="4" borderId="0" xfId="0" applyFont="1" applyFill="1" applyAlignment="1">
      <alignment horizontal="left"/>
    </xf>
    <xf numFmtId="188" fontId="2" fillId="4" borderId="0" xfId="15" applyNumberFormat="1" applyFont="1" applyFill="1" applyBorder="1" applyAlignment="1">
      <alignment horizontal="center"/>
    </xf>
    <xf numFmtId="188" fontId="2" fillId="4" borderId="0" xfId="15" applyNumberFormat="1" applyFont="1" applyFill="1" applyBorder="1" applyAlignment="1">
      <alignment/>
    </xf>
    <xf numFmtId="188" fontId="2" fillId="4" borderId="0" xfId="15" applyNumberFormat="1" applyFont="1" applyFill="1" applyBorder="1" applyAlignment="1">
      <alignment/>
    </xf>
    <xf numFmtId="0" fontId="2" fillId="4" borderId="0" xfId="0" applyNumberFormat="1" applyFont="1" applyFill="1" applyAlignment="1">
      <alignment horizontal="left"/>
    </xf>
    <xf numFmtId="0" fontId="2" fillId="4" borderId="0" xfId="0" applyNumberFormat="1" applyFont="1" applyFill="1" applyAlignment="1">
      <alignment horizontal="center"/>
    </xf>
    <xf numFmtId="37" fontId="2" fillId="4" borderId="0" xfId="0" applyFont="1" applyFill="1" applyAlignment="1" quotePrefix="1">
      <alignment horizontal="left"/>
    </xf>
    <xf numFmtId="188" fontId="2" fillId="4" borderId="3" xfId="15" applyNumberFormat="1" applyFont="1" applyFill="1" applyBorder="1" applyAlignment="1">
      <alignment/>
    </xf>
    <xf numFmtId="188" fontId="2" fillId="4" borderId="4" xfId="15" applyNumberFormat="1" applyFont="1" applyFill="1" applyBorder="1" applyAlignment="1">
      <alignment/>
    </xf>
    <xf numFmtId="171" fontId="2" fillId="4" borderId="0" xfId="15" applyFont="1" applyFill="1" applyBorder="1" applyAlignment="1">
      <alignment/>
    </xf>
    <xf numFmtId="188" fontId="2" fillId="3" borderId="0" xfId="15" applyNumberFormat="1" applyFont="1" applyFill="1" applyBorder="1" applyAlignment="1">
      <alignment horizontal="right"/>
    </xf>
    <xf numFmtId="171" fontId="2" fillId="3" borderId="0" xfId="15" applyNumberFormat="1" applyFont="1" applyFill="1" applyBorder="1" applyAlignment="1">
      <alignment/>
    </xf>
    <xf numFmtId="37" fontId="2" fillId="3" borderId="0" xfId="0" applyFont="1" applyFill="1" applyBorder="1" applyAlignment="1">
      <alignment/>
    </xf>
    <xf numFmtId="37" fontId="6" fillId="4" borderId="0" xfId="0" applyFont="1" applyFill="1" applyBorder="1" applyAlignment="1">
      <alignment/>
    </xf>
    <xf numFmtId="37" fontId="3" fillId="4" borderId="0" xfId="0" applyFont="1" applyFill="1" applyBorder="1" applyAlignment="1">
      <alignment horizontal="right"/>
    </xf>
    <xf numFmtId="37" fontId="3" fillId="4" borderId="0" xfId="0" applyFont="1" applyFill="1" applyBorder="1" applyAlignment="1" quotePrefix="1">
      <alignment horizontal="right"/>
    </xf>
    <xf numFmtId="37" fontId="6" fillId="4" borderId="0" xfId="0" applyFont="1" applyFill="1" applyAlignment="1">
      <alignment horizontal="center"/>
    </xf>
    <xf numFmtId="37" fontId="6" fillId="4" borderId="0" xfId="0" applyFont="1" applyFill="1" applyBorder="1" applyAlignment="1">
      <alignment horizontal="center"/>
    </xf>
    <xf numFmtId="37" fontId="7" fillId="4" borderId="0" xfId="0" applyFont="1" applyFill="1" applyAlignment="1">
      <alignment/>
    </xf>
    <xf numFmtId="37" fontId="7" fillId="4" borderId="0" xfId="0" applyFont="1" applyFill="1" applyBorder="1" applyAlignment="1">
      <alignment/>
    </xf>
    <xf numFmtId="37" fontId="6" fillId="4" borderId="0" xfId="0" applyFont="1" applyFill="1" applyAlignment="1">
      <alignment horizontal="right"/>
    </xf>
    <xf numFmtId="37" fontId="1" fillId="4" borderId="0" xfId="0" applyFont="1" applyFill="1" applyBorder="1" applyAlignment="1">
      <alignment horizontal="center"/>
    </xf>
    <xf numFmtId="188" fontId="2" fillId="4" borderId="5" xfId="15" applyNumberFormat="1" applyFont="1" applyFill="1" applyBorder="1" applyAlignment="1">
      <alignment/>
    </xf>
    <xf numFmtId="37" fontId="2" fillId="3" borderId="0" xfId="0" applyFont="1" applyFill="1" applyAlignment="1">
      <alignment horizontal="left"/>
    </xf>
    <xf numFmtId="37" fontId="2" fillId="3" borderId="0" xfId="0" applyFont="1" applyFill="1" applyAlignment="1" quotePrefix="1">
      <alignment horizontal="left"/>
    </xf>
    <xf numFmtId="188" fontId="0" fillId="4" borderId="0" xfId="15" applyNumberFormat="1" applyFill="1" applyBorder="1" applyAlignment="1">
      <alignment/>
    </xf>
    <xf numFmtId="171" fontId="2" fillId="4" borderId="0" xfId="15" applyNumberFormat="1" applyFont="1" applyFill="1" applyBorder="1" applyAlignment="1">
      <alignment/>
    </xf>
    <xf numFmtId="193" fontId="2" fillId="4" borderId="0" xfId="15" applyNumberFormat="1" applyFont="1" applyFill="1" applyBorder="1" applyAlignment="1">
      <alignment horizontal="right"/>
    </xf>
    <xf numFmtId="188" fontId="2" fillId="4" borderId="6" xfId="15" applyNumberFormat="1" applyFont="1" applyFill="1" applyBorder="1" applyAlignment="1">
      <alignment horizontal="center"/>
    </xf>
    <xf numFmtId="188" fontId="2" fillId="4" borderId="7" xfId="15" applyNumberFormat="1" applyFont="1" applyFill="1" applyBorder="1" applyAlignment="1">
      <alignment horizontal="center"/>
    </xf>
    <xf numFmtId="188" fontId="2" fillId="4" borderId="8" xfId="15" applyNumberFormat="1" applyFont="1" applyFill="1" applyBorder="1" applyAlignment="1">
      <alignment horizontal="center"/>
    </xf>
    <xf numFmtId="188" fontId="2" fillId="4" borderId="3" xfId="15" applyNumberFormat="1" applyFont="1" applyFill="1" applyBorder="1" applyAlignment="1">
      <alignment horizontal="center"/>
    </xf>
    <xf numFmtId="188" fontId="2" fillId="4" borderId="2" xfId="15" applyNumberFormat="1" applyFont="1" applyFill="1" applyBorder="1" applyAlignment="1">
      <alignment horizontal="center"/>
    </xf>
    <xf numFmtId="37" fontId="2" fillId="3" borderId="0" xfId="0" applyFont="1" applyFill="1" applyAlignment="1">
      <alignment/>
    </xf>
    <xf numFmtId="37" fontId="2" fillId="3" borderId="0" xfId="0" applyFont="1" applyFill="1" applyAlignment="1">
      <alignment horizontal="center"/>
    </xf>
    <xf numFmtId="37" fontId="6" fillId="3" borderId="0" xfId="0" applyFont="1" applyFill="1" applyAlignment="1">
      <alignment/>
    </xf>
    <xf numFmtId="37" fontId="7" fillId="3" borderId="0" xfId="0" applyFont="1" applyFill="1" applyAlignment="1">
      <alignment horizontal="center"/>
    </xf>
    <xf numFmtId="188" fontId="2" fillId="3" borderId="0" xfId="15" applyNumberFormat="1" applyFont="1" applyFill="1" applyBorder="1" applyAlignment="1">
      <alignment/>
    </xf>
    <xf numFmtId="37" fontId="0" fillId="3" borderId="0" xfId="0" applyFill="1" applyBorder="1" applyAlignment="1">
      <alignment/>
    </xf>
    <xf numFmtId="37" fontId="7" fillId="3" borderId="0" xfId="0" applyFont="1" applyFill="1" applyAlignment="1">
      <alignment/>
    </xf>
    <xf numFmtId="37" fontId="3" fillId="3" borderId="0" xfId="0" applyFont="1" applyFill="1" applyBorder="1" applyAlignment="1">
      <alignment horizontal="centerContinuous"/>
    </xf>
    <xf numFmtId="37" fontId="0" fillId="3" borderId="0" xfId="0" applyFill="1" applyBorder="1" applyAlignment="1">
      <alignment horizontal="centerContinuous"/>
    </xf>
    <xf numFmtId="37" fontId="6" fillId="3" borderId="0" xfId="0" applyFont="1" applyFill="1" applyBorder="1" applyAlignment="1">
      <alignment/>
    </xf>
    <xf numFmtId="37" fontId="1" fillId="3" borderId="0" xfId="0" applyFont="1" applyFill="1" applyBorder="1" applyAlignment="1">
      <alignment horizontal="centerContinuous"/>
    </xf>
    <xf numFmtId="37" fontId="3" fillId="3" borderId="0" xfId="0" applyFont="1" applyFill="1" applyBorder="1" applyAlignment="1">
      <alignment horizontal="right"/>
    </xf>
    <xf numFmtId="37" fontId="7" fillId="3" borderId="0" xfId="0" applyFont="1" applyFill="1" applyBorder="1" applyAlignment="1">
      <alignment horizontal="center"/>
    </xf>
    <xf numFmtId="37" fontId="3" fillId="3" borderId="0" xfId="0" applyFont="1" applyFill="1" applyBorder="1" applyAlignment="1" quotePrefix="1">
      <alignment horizontal="right"/>
    </xf>
    <xf numFmtId="37" fontId="6" fillId="3" borderId="0" xfId="0" applyFont="1" applyFill="1" applyBorder="1" applyAlignment="1">
      <alignment horizontal="center"/>
    </xf>
    <xf numFmtId="188" fontId="2" fillId="3" borderId="0" xfId="15" applyNumberFormat="1" applyFont="1" applyFill="1" applyBorder="1" applyAlignment="1">
      <alignment/>
    </xf>
    <xf numFmtId="37" fontId="1" fillId="3" borderId="0" xfId="0" applyFont="1" applyFill="1" applyBorder="1" applyAlignment="1">
      <alignment horizontal="center"/>
    </xf>
    <xf numFmtId="188" fontId="2" fillId="3" borderId="0" xfId="15" applyNumberFormat="1" applyFill="1" applyBorder="1" applyAlignment="1">
      <alignment/>
    </xf>
    <xf numFmtId="188" fontId="8" fillId="3" borderId="0" xfId="15" applyNumberFormat="1" applyFont="1" applyFill="1" applyBorder="1" applyAlignment="1">
      <alignment/>
    </xf>
    <xf numFmtId="188" fontId="8" fillId="3" borderId="0" xfId="15" applyNumberFormat="1" applyFont="1" applyFill="1" applyBorder="1" applyAlignment="1">
      <alignment horizontal="right"/>
    </xf>
    <xf numFmtId="188" fontId="2" fillId="3" borderId="0" xfId="15" applyNumberFormat="1" applyFill="1" applyBorder="1" applyAlignment="1">
      <alignment horizontal="right"/>
    </xf>
    <xf numFmtId="171" fontId="2" fillId="3" borderId="0" xfId="15" applyNumberFormat="1" applyFill="1" applyBorder="1" applyAlignment="1">
      <alignment/>
    </xf>
    <xf numFmtId="37" fontId="7" fillId="4" borderId="3" xfId="0" applyFont="1" applyFill="1" applyBorder="1" applyAlignment="1">
      <alignment/>
    </xf>
    <xf numFmtId="37" fontId="2" fillId="4" borderId="0" xfId="0" applyFont="1" applyFill="1" applyAlignment="1" quotePrefix="1">
      <alignment horizontal="center" vertical="center"/>
    </xf>
    <xf numFmtId="37" fontId="0" fillId="4" borderId="0" xfId="0" applyFill="1" applyAlignment="1">
      <alignment horizontal="center" vertical="center"/>
    </xf>
    <xf numFmtId="37" fontId="6" fillId="4" borderId="0" xfId="0" applyFont="1" applyFill="1" applyAlignment="1">
      <alignment horizontal="center" vertical="center"/>
    </xf>
    <xf numFmtId="169" fontId="2" fillId="4" borderId="0" xfId="0" applyNumberFormat="1" applyFont="1" applyFill="1" applyAlignment="1">
      <alignment/>
    </xf>
    <xf numFmtId="169" fontId="2" fillId="4" borderId="3" xfId="0" applyNumberFormat="1" applyFont="1" applyFill="1" applyBorder="1" applyAlignment="1">
      <alignment/>
    </xf>
    <xf numFmtId="37" fontId="2" fillId="4" borderId="6" xfId="0" applyFont="1" applyFill="1" applyBorder="1" applyAlignment="1">
      <alignment/>
    </xf>
    <xf numFmtId="169" fontId="2" fillId="4" borderId="9" xfId="0" applyNumberFormat="1" applyFont="1" applyFill="1" applyBorder="1" applyAlignment="1">
      <alignment/>
    </xf>
    <xf numFmtId="37" fontId="2" fillId="4" borderId="10" xfId="0" applyFont="1" applyFill="1" applyBorder="1" applyAlignment="1">
      <alignment/>
    </xf>
    <xf numFmtId="169" fontId="2" fillId="4" borderId="0" xfId="0" applyNumberFormat="1" applyFont="1" applyFill="1" applyBorder="1" applyAlignment="1">
      <alignment/>
    </xf>
    <xf numFmtId="37" fontId="2" fillId="4" borderId="8" xfId="0" applyFont="1" applyFill="1" applyBorder="1" applyAlignment="1">
      <alignment/>
    </xf>
    <xf numFmtId="169" fontId="2" fillId="4" borderId="4" xfId="0" applyNumberFormat="1" applyFont="1" applyFill="1" applyBorder="1" applyAlignment="1">
      <alignment/>
    </xf>
    <xf numFmtId="37" fontId="2" fillId="4" borderId="0" xfId="0" applyFont="1" applyFill="1" applyBorder="1" applyAlignment="1">
      <alignment horizontal="center"/>
    </xf>
    <xf numFmtId="37" fontId="2" fillId="4" borderId="0" xfId="0" applyFont="1" applyFill="1" applyAlignment="1">
      <alignment/>
    </xf>
    <xf numFmtId="37" fontId="2" fillId="4" borderId="3" xfId="0" applyFont="1" applyFill="1" applyBorder="1" applyAlignment="1">
      <alignment/>
    </xf>
    <xf numFmtId="37" fontId="2" fillId="4" borderId="0" xfId="0" applyFont="1" applyFill="1" applyBorder="1" applyAlignment="1">
      <alignment/>
    </xf>
    <xf numFmtId="37" fontId="3" fillId="4" borderId="0" xfId="0" applyFont="1" applyFill="1" applyBorder="1" applyAlignment="1">
      <alignment/>
    </xf>
    <xf numFmtId="37" fontId="3" fillId="0" borderId="0" xfId="0" applyFont="1" applyFill="1" applyAlignment="1">
      <alignment vertical="center"/>
    </xf>
    <xf numFmtId="37" fontId="2" fillId="0" borderId="0" xfId="0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88" fontId="3" fillId="0" borderId="0" xfId="0" applyNumberFormat="1" applyFont="1" applyFill="1" applyBorder="1" applyAlignment="1">
      <alignment vertical="center"/>
    </xf>
    <xf numFmtId="188" fontId="3" fillId="0" borderId="11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Border="1" applyAlignment="1">
      <alignment/>
    </xf>
    <xf numFmtId="188" fontId="3" fillId="0" borderId="3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vertical="center"/>
    </xf>
    <xf numFmtId="37" fontId="9" fillId="0" borderId="0" xfId="0" applyFont="1" applyFill="1" applyAlignment="1">
      <alignment vertical="center"/>
    </xf>
    <xf numFmtId="188" fontId="9" fillId="0" borderId="0" xfId="0" applyNumberFormat="1" applyFont="1" applyFill="1" applyAlignment="1">
      <alignment vertical="center"/>
    </xf>
    <xf numFmtId="188" fontId="9" fillId="0" borderId="0" xfId="0" applyNumberFormat="1" applyFont="1" applyFill="1" applyAlignment="1" applyProtection="1">
      <alignment vertical="center"/>
      <protection/>
    </xf>
    <xf numFmtId="37" fontId="0" fillId="3" borderId="5" xfId="0" applyFill="1" applyBorder="1" applyAlignment="1">
      <alignment/>
    </xf>
    <xf numFmtId="188" fontId="2" fillId="0" borderId="13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5" xfId="0" applyNumberFormat="1" applyFont="1" applyFill="1" applyBorder="1" applyAlignment="1">
      <alignment horizontal="center"/>
    </xf>
    <xf numFmtId="188" fontId="2" fillId="0" borderId="14" xfId="0" applyNumberFormat="1" applyFont="1" applyFill="1" applyBorder="1" applyAlignment="1">
      <alignment horizontal="center"/>
    </xf>
    <xf numFmtId="37" fontId="0" fillId="0" borderId="7" xfId="0" applyFill="1" applyBorder="1" applyAlignment="1">
      <alignment/>
    </xf>
    <xf numFmtId="37" fontId="6" fillId="0" borderId="0" xfId="0" applyFont="1" applyFill="1" applyAlignment="1">
      <alignment/>
    </xf>
    <xf numFmtId="37" fontId="7" fillId="0" borderId="0" xfId="0" applyFont="1" applyFill="1" applyAlignment="1">
      <alignment horizontal="center"/>
    </xf>
    <xf numFmtId="188" fontId="2" fillId="0" borderId="0" xfId="15" applyNumberFormat="1" applyFont="1" applyFill="1" applyAlignment="1">
      <alignment/>
    </xf>
    <xf numFmtId="188" fontId="2" fillId="0" borderId="0" xfId="15" applyNumberFormat="1" applyFont="1" applyFill="1" applyBorder="1" applyAlignment="1">
      <alignment/>
    </xf>
    <xf numFmtId="187" fontId="2" fillId="4" borderId="0" xfId="0" applyNumberFormat="1" applyFont="1" applyFill="1" applyBorder="1" applyAlignment="1">
      <alignment/>
    </xf>
    <xf numFmtId="37" fontId="2" fillId="0" borderId="3" xfId="0" applyFont="1" applyFill="1" applyBorder="1" applyAlignment="1">
      <alignment/>
    </xf>
    <xf numFmtId="188" fontId="10" fillId="0" borderId="0" xfId="0" applyNumberFormat="1" applyFont="1" applyFill="1" applyAlignment="1" applyProtection="1">
      <alignment vertical="center"/>
      <protection/>
    </xf>
    <xf numFmtId="37" fontId="7" fillId="4" borderId="16" xfId="0" applyFont="1" applyFill="1" applyBorder="1" applyAlignment="1">
      <alignment horizontal="center"/>
    </xf>
    <xf numFmtId="37" fontId="3" fillId="4" borderId="0" xfId="0" applyFont="1" applyFill="1" applyAlignment="1">
      <alignment horizontal="center" wrapText="1"/>
    </xf>
    <xf numFmtId="37" fontId="0" fillId="4" borderId="3" xfId="0" applyFill="1" applyBorder="1" applyAlignment="1">
      <alignment/>
    </xf>
    <xf numFmtId="37" fontId="0" fillId="4" borderId="6" xfId="0" applyFill="1" applyBorder="1" applyAlignment="1">
      <alignment/>
    </xf>
    <xf numFmtId="37" fontId="0" fillId="4" borderId="7" xfId="0" applyFill="1" applyBorder="1" applyAlignment="1">
      <alignment/>
    </xf>
    <xf numFmtId="37" fontId="0" fillId="4" borderId="8" xfId="0" applyFill="1" applyBorder="1" applyAlignment="1">
      <alignment/>
    </xf>
    <xf numFmtId="37" fontId="0" fillId="4" borderId="2" xfId="0" applyFill="1" applyBorder="1" applyAlignment="1">
      <alignment/>
    </xf>
    <xf numFmtId="188" fontId="2" fillId="0" borderId="10" xfId="15" applyNumberFormat="1" applyFont="1" applyFill="1" applyBorder="1" applyAlignment="1">
      <alignment/>
    </xf>
    <xf numFmtId="37" fontId="0" fillId="3" borderId="6" xfId="0" applyFill="1" applyBorder="1" applyAlignment="1">
      <alignment/>
    </xf>
    <xf numFmtId="37" fontId="0" fillId="3" borderId="9" xfId="0" applyFill="1" applyBorder="1" applyAlignment="1">
      <alignment/>
    </xf>
    <xf numFmtId="37" fontId="0" fillId="3" borderId="7" xfId="0" applyFill="1" applyBorder="1" applyAlignment="1">
      <alignment/>
    </xf>
    <xf numFmtId="37" fontId="0" fillId="3" borderId="10" xfId="0" applyFill="1" applyBorder="1" applyAlignment="1">
      <alignment/>
    </xf>
    <xf numFmtId="37" fontId="0" fillId="3" borderId="1" xfId="0" applyFill="1" applyBorder="1" applyAlignment="1">
      <alignment/>
    </xf>
    <xf numFmtId="37" fontId="0" fillId="3" borderId="8" xfId="0" applyFill="1" applyBorder="1" applyAlignment="1">
      <alignment/>
    </xf>
    <xf numFmtId="37" fontId="0" fillId="3" borderId="3" xfId="0" applyFill="1" applyBorder="1" applyAlignment="1">
      <alignment/>
    </xf>
    <xf numFmtId="37" fontId="0" fillId="3" borderId="2" xfId="0" applyFill="1" applyBorder="1" applyAlignment="1">
      <alignment/>
    </xf>
    <xf numFmtId="37" fontId="9" fillId="0" borderId="0" xfId="0" applyNumberFormat="1" applyFont="1" applyAlignment="1">
      <alignment/>
    </xf>
    <xf numFmtId="37" fontId="12" fillId="0" borderId="0" xfId="0" applyNumberFormat="1" applyFont="1" applyAlignment="1" quotePrefix="1">
      <alignment horizontal="left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7" fontId="12" fillId="0" borderId="0" xfId="0" applyNumberFormat="1" applyFont="1" applyAlignment="1">
      <alignment horizontal="center"/>
    </xf>
    <xf numFmtId="37" fontId="13" fillId="0" borderId="0" xfId="0" applyNumberFormat="1" applyFont="1" applyAlignment="1">
      <alignment horizontal="center"/>
    </xf>
    <xf numFmtId="37" fontId="12" fillId="0" borderId="0" xfId="0" applyNumberFormat="1" applyFont="1" applyAlignment="1">
      <alignment horizontal="left"/>
    </xf>
    <xf numFmtId="37" fontId="12" fillId="0" borderId="0" xfId="0" applyNumberFormat="1" applyFont="1" applyAlignment="1">
      <alignment/>
    </xf>
    <xf numFmtId="37" fontId="9" fillId="0" borderId="6" xfId="0" applyNumberFormat="1" applyFont="1" applyBorder="1" applyAlignment="1">
      <alignment/>
    </xf>
    <xf numFmtId="37" fontId="9" fillId="0" borderId="9" xfId="0" applyNumberFormat="1" applyFont="1" applyBorder="1" applyAlignment="1">
      <alignment/>
    </xf>
    <xf numFmtId="37" fontId="12" fillId="0" borderId="13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98" fontId="12" fillId="0" borderId="6" xfId="0" applyNumberFormat="1" applyFont="1" applyBorder="1" applyAlignment="1">
      <alignment horizontal="center"/>
    </xf>
    <xf numFmtId="37" fontId="12" fillId="0" borderId="17" xfId="0" applyNumberFormat="1" applyFont="1" applyBorder="1" applyAlignment="1">
      <alignment horizontal="center"/>
    </xf>
    <xf numFmtId="37" fontId="12" fillId="0" borderId="6" xfId="0" applyNumberFormat="1" applyFont="1" applyBorder="1" applyAlignment="1">
      <alignment horizontal="center"/>
    </xf>
    <xf numFmtId="37" fontId="9" fillId="0" borderId="17" xfId="0" applyNumberFormat="1" applyFont="1" applyBorder="1" applyAlignment="1">
      <alignment/>
    </xf>
    <xf numFmtId="37" fontId="9" fillId="0" borderId="18" xfId="0" applyNumberFormat="1" applyFont="1" applyBorder="1" applyAlignment="1">
      <alignment/>
    </xf>
    <xf numFmtId="37" fontId="12" fillId="0" borderId="16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37" fontId="9" fillId="0" borderId="17" xfId="0" applyNumberFormat="1" applyFont="1" applyBorder="1" applyAlignment="1">
      <alignment horizontal="center"/>
    </xf>
    <xf numFmtId="37" fontId="9" fillId="0" borderId="16" xfId="0" applyNumberFormat="1" applyFont="1" applyBorder="1" applyAlignment="1">
      <alignment horizontal="center"/>
    </xf>
    <xf numFmtId="37" fontId="9" fillId="0" borderId="8" xfId="0" applyNumberFormat="1" applyFont="1" applyBorder="1" applyAlignment="1">
      <alignment/>
    </xf>
    <xf numFmtId="37" fontId="9" fillId="0" borderId="3" xfId="0" applyNumberFormat="1" applyFont="1" applyBorder="1" applyAlignment="1">
      <alignment/>
    </xf>
    <xf numFmtId="37" fontId="9" fillId="0" borderId="14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88" fontId="9" fillId="0" borderId="8" xfId="15" applyNumberFormat="1" applyFont="1" applyBorder="1" applyAlignment="1">
      <alignment/>
    </xf>
    <xf numFmtId="188" fontId="9" fillId="0" borderId="14" xfId="15" applyNumberFormat="1" applyFont="1" applyBorder="1" applyAlignment="1">
      <alignment/>
    </xf>
    <xf numFmtId="37" fontId="9" fillId="0" borderId="16" xfId="0" applyNumberFormat="1" applyFont="1" applyBorder="1" applyAlignment="1">
      <alignment/>
    </xf>
    <xf numFmtId="0" fontId="12" fillId="0" borderId="9" xfId="0" applyFont="1" applyBorder="1" applyAlignment="1">
      <alignment horizontal="center"/>
    </xf>
    <xf numFmtId="188" fontId="9" fillId="0" borderId="16" xfId="15" applyNumberFormat="1" applyFont="1" applyBorder="1" applyAlignment="1">
      <alignment/>
    </xf>
    <xf numFmtId="9" fontId="9" fillId="0" borderId="16" xfId="23" applyFont="1" applyBorder="1" applyAlignment="1">
      <alignment/>
    </xf>
    <xf numFmtId="0" fontId="12" fillId="0" borderId="18" xfId="0" applyFont="1" applyBorder="1" applyAlignment="1">
      <alignment horizontal="center"/>
    </xf>
    <xf numFmtId="188" fontId="9" fillId="0" borderId="13" xfId="15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37" fontId="12" fillId="0" borderId="15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88" fontId="9" fillId="0" borderId="20" xfId="15" applyNumberFormat="1" applyFont="1" applyBorder="1" applyAlignment="1">
      <alignment/>
    </xf>
    <xf numFmtId="188" fontId="9" fillId="0" borderId="15" xfId="15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7" xfId="0" applyNumberFormat="1" applyFont="1" applyBorder="1" applyAlignment="1">
      <alignment/>
    </xf>
    <xf numFmtId="188" fontId="9" fillId="0" borderId="2" xfId="15" applyNumberFormat="1" applyFont="1" applyBorder="1" applyAlignment="1">
      <alignment/>
    </xf>
    <xf numFmtId="37" fontId="9" fillId="0" borderId="2" xfId="0" applyNumberFormat="1" applyFont="1" applyBorder="1" applyAlignment="1">
      <alignment/>
    </xf>
    <xf numFmtId="37" fontId="9" fillId="0" borderId="19" xfId="0" applyNumberFormat="1" applyFont="1" applyBorder="1" applyAlignment="1">
      <alignment/>
    </xf>
    <xf numFmtId="188" fontId="12" fillId="0" borderId="13" xfId="15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88" fontId="9" fillId="0" borderId="21" xfId="15" applyNumberFormat="1" applyFont="1" applyBorder="1" applyAlignment="1">
      <alignment/>
    </xf>
    <xf numFmtId="37" fontId="9" fillId="0" borderId="0" xfId="0" applyNumberFormat="1" applyFont="1" applyBorder="1" applyAlignment="1">
      <alignment horizontal="right"/>
    </xf>
    <xf numFmtId="188" fontId="12" fillId="0" borderId="14" xfId="15" applyNumberFormat="1" applyFont="1" applyBorder="1" applyAlignment="1">
      <alignment horizontal="center"/>
    </xf>
    <xf numFmtId="37" fontId="12" fillId="0" borderId="17" xfId="0" applyNumberFormat="1" applyFont="1" applyBorder="1" applyAlignment="1">
      <alignment/>
    </xf>
    <xf numFmtId="188" fontId="9" fillId="0" borderId="22" xfId="15" applyNumberFormat="1" applyFont="1" applyBorder="1" applyAlignment="1">
      <alignment/>
    </xf>
    <xf numFmtId="37" fontId="9" fillId="0" borderId="6" xfId="0" applyNumberFormat="1" applyFont="1" applyBorder="1" applyAlignment="1" quotePrefix="1">
      <alignment horizontal="left"/>
    </xf>
    <xf numFmtId="37" fontId="9" fillId="0" borderId="17" xfId="0" applyNumberFormat="1" applyFont="1" applyBorder="1" applyAlignment="1" quotePrefix="1">
      <alignment horizontal="left"/>
    </xf>
    <xf numFmtId="37" fontId="12" fillId="0" borderId="8" xfId="0" applyNumberFormat="1" applyFont="1" applyBorder="1" applyAlignment="1" quotePrefix="1">
      <alignment horizontal="left"/>
    </xf>
    <xf numFmtId="188" fontId="9" fillId="0" borderId="0" xfId="15" applyNumberFormat="1" applyFont="1" applyAlignment="1">
      <alignment/>
    </xf>
    <xf numFmtId="3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7" fontId="9" fillId="5" borderId="0" xfId="0" applyNumberFormat="1" applyFont="1" applyFill="1" applyAlignment="1">
      <alignment/>
    </xf>
    <xf numFmtId="37" fontId="9" fillId="5" borderId="0" xfId="0" applyNumberFormat="1" applyFont="1" applyFill="1" applyAlignment="1">
      <alignment horizontal="center"/>
    </xf>
    <xf numFmtId="37" fontId="9" fillId="6" borderId="0" xfId="0" applyNumberFormat="1" applyFont="1" applyFill="1" applyAlignment="1">
      <alignment horizontal="center"/>
    </xf>
    <xf numFmtId="37" fontId="9" fillId="7" borderId="0" xfId="0" applyNumberFormat="1" applyFont="1" applyFill="1" applyAlignment="1">
      <alignment horizontal="center"/>
    </xf>
    <xf numFmtId="37" fontId="9" fillId="8" borderId="0" xfId="0" applyNumberFormat="1" applyFont="1" applyFill="1" applyAlignment="1">
      <alignment horizontal="center"/>
    </xf>
    <xf numFmtId="37" fontId="9" fillId="9" borderId="0" xfId="0" applyNumberFormat="1" applyFont="1" applyFill="1" applyAlignment="1">
      <alignment horizontal="center"/>
    </xf>
    <xf numFmtId="37" fontId="13" fillId="0" borderId="0" xfId="0" applyNumberFormat="1" applyFont="1" applyAlignment="1">
      <alignment/>
    </xf>
    <xf numFmtId="188" fontId="12" fillId="0" borderId="0" xfId="15" applyNumberFormat="1" applyFont="1" applyAlignment="1">
      <alignment horizontal="right"/>
    </xf>
    <xf numFmtId="197" fontId="9" fillId="0" borderId="0" xfId="0" applyFont="1" applyAlignment="1">
      <alignment/>
    </xf>
    <xf numFmtId="37" fontId="9" fillId="0" borderId="0" xfId="0" applyNumberFormat="1" applyFont="1" applyAlignment="1" quotePrefix="1">
      <alignment horizontal="center"/>
    </xf>
    <xf numFmtId="197" fontId="9" fillId="0" borderId="0" xfId="0" applyFont="1" applyAlignment="1">
      <alignment horizontal="center"/>
    </xf>
    <xf numFmtId="37" fontId="9" fillId="5" borderId="0" xfId="0" applyNumberFormat="1" applyFont="1" applyFill="1" applyAlignment="1" quotePrefix="1">
      <alignment horizontal="center"/>
    </xf>
    <xf numFmtId="37" fontId="9" fillId="6" borderId="0" xfId="0" applyNumberFormat="1" applyFont="1" applyFill="1" applyAlignment="1" quotePrefix="1">
      <alignment horizontal="center"/>
    </xf>
    <xf numFmtId="37" fontId="9" fillId="7" borderId="0" xfId="0" applyNumberFormat="1" applyFont="1" applyFill="1" applyAlignment="1" quotePrefix="1">
      <alignment horizontal="center"/>
    </xf>
    <xf numFmtId="37" fontId="9" fillId="8" borderId="0" xfId="0" applyNumberFormat="1" applyFont="1" applyFill="1" applyAlignment="1" quotePrefix="1">
      <alignment horizontal="center"/>
    </xf>
    <xf numFmtId="37" fontId="9" fillId="9" borderId="0" xfId="0" applyNumberFormat="1" applyFont="1" applyFill="1" applyAlignment="1" quotePrefix="1">
      <alignment horizontal="center"/>
    </xf>
    <xf numFmtId="37" fontId="9" fillId="10" borderId="6" xfId="0" applyNumberFormat="1" applyFont="1" applyFill="1" applyBorder="1" applyAlignment="1">
      <alignment/>
    </xf>
    <xf numFmtId="37" fontId="9" fillId="10" borderId="9" xfId="0" applyNumberFormat="1" applyFont="1" applyFill="1" applyBorder="1" applyAlignment="1">
      <alignment/>
    </xf>
    <xf numFmtId="37" fontId="9" fillId="10" borderId="7" xfId="0" applyNumberFormat="1" applyFont="1" applyFill="1" applyBorder="1" applyAlignment="1">
      <alignment/>
    </xf>
    <xf numFmtId="37" fontId="9" fillId="10" borderId="16" xfId="0" applyNumberFormat="1" applyFont="1" applyFill="1" applyBorder="1" applyAlignment="1">
      <alignment horizontal="center"/>
    </xf>
    <xf numFmtId="198" fontId="14" fillId="10" borderId="6" xfId="0" applyNumberFormat="1" applyFont="1" applyFill="1" applyBorder="1" applyAlignment="1">
      <alignment horizontal="center"/>
    </xf>
    <xf numFmtId="37" fontId="9" fillId="10" borderId="10" xfId="0" applyNumberFormat="1" applyFont="1" applyFill="1" applyBorder="1" applyAlignment="1">
      <alignment/>
    </xf>
    <xf numFmtId="37" fontId="9" fillId="10" borderId="0" xfId="0" applyNumberFormat="1" applyFont="1" applyFill="1" applyBorder="1" applyAlignment="1">
      <alignment/>
    </xf>
    <xf numFmtId="37" fontId="9" fillId="10" borderId="1" xfId="0" applyNumberFormat="1" applyFont="1" applyFill="1" applyBorder="1" applyAlignment="1">
      <alignment/>
    </xf>
    <xf numFmtId="37" fontId="12" fillId="10" borderId="16" xfId="0" applyNumberFormat="1" applyFont="1" applyFill="1" applyBorder="1" applyAlignment="1">
      <alignment horizontal="center"/>
    </xf>
    <xf numFmtId="198" fontId="12" fillId="0" borderId="9" xfId="0" applyNumberFormat="1" applyFont="1" applyBorder="1" applyAlignment="1">
      <alignment horizontal="center"/>
    </xf>
    <xf numFmtId="37" fontId="9" fillId="0" borderId="13" xfId="0" applyNumberFormat="1" applyFont="1" applyBorder="1" applyAlignment="1">
      <alignment horizontal="center"/>
    </xf>
    <xf numFmtId="37" fontId="9" fillId="10" borderId="8" xfId="0" applyNumberFormat="1" applyFont="1" applyFill="1" applyBorder="1" applyAlignment="1">
      <alignment/>
    </xf>
    <xf numFmtId="37" fontId="9" fillId="10" borderId="3" xfId="0" applyNumberFormat="1" applyFont="1" applyFill="1" applyBorder="1" applyAlignment="1">
      <alignment/>
    </xf>
    <xf numFmtId="37" fontId="9" fillId="10" borderId="2" xfId="0" applyNumberFormat="1" applyFont="1" applyFill="1" applyBorder="1" applyAlignment="1">
      <alignment/>
    </xf>
    <xf numFmtId="37" fontId="9" fillId="0" borderId="9" xfId="0" applyNumberFormat="1" applyFont="1" applyBorder="1" applyAlignment="1">
      <alignment horizontal="center"/>
    </xf>
    <xf numFmtId="181" fontId="15" fillId="10" borderId="17" xfId="0" applyNumberFormat="1" applyFont="1" applyFill="1" applyBorder="1" applyAlignment="1">
      <alignment horizontal="center"/>
    </xf>
    <xf numFmtId="37" fontId="9" fillId="0" borderId="6" xfId="0" applyNumberFormat="1" applyFont="1" applyBorder="1" applyAlignment="1">
      <alignment horizontal="center"/>
    </xf>
    <xf numFmtId="37" fontId="9" fillId="5" borderId="6" xfId="0" applyNumberFormat="1" applyFont="1" applyFill="1" applyBorder="1" applyAlignment="1">
      <alignment horizontal="center"/>
    </xf>
    <xf numFmtId="188" fontId="9" fillId="6" borderId="16" xfId="15" applyNumberFormat="1" applyFont="1" applyFill="1" applyBorder="1" applyAlignment="1">
      <alignment/>
    </xf>
    <xf numFmtId="37" fontId="9" fillId="6" borderId="6" xfId="0" applyNumberFormat="1" applyFont="1" applyFill="1" applyBorder="1" applyAlignment="1">
      <alignment horizontal="center"/>
    </xf>
    <xf numFmtId="37" fontId="9" fillId="7" borderId="6" xfId="0" applyNumberFormat="1" applyFont="1" applyFill="1" applyBorder="1" applyAlignment="1">
      <alignment horizontal="center"/>
    </xf>
    <xf numFmtId="37" fontId="9" fillId="8" borderId="6" xfId="0" applyNumberFormat="1" applyFont="1" applyFill="1" applyBorder="1" applyAlignment="1">
      <alignment horizontal="center"/>
    </xf>
    <xf numFmtId="37" fontId="9" fillId="9" borderId="6" xfId="0" applyNumberFormat="1" applyFont="1" applyFill="1" applyBorder="1" applyAlignment="1">
      <alignment horizontal="center"/>
    </xf>
    <xf numFmtId="188" fontId="9" fillId="0" borderId="6" xfId="15" applyNumberFormat="1" applyFont="1" applyBorder="1" applyAlignment="1">
      <alignment/>
    </xf>
    <xf numFmtId="188" fontId="9" fillId="0" borderId="13" xfId="15" applyNumberFormat="1" applyFont="1" applyBorder="1" applyAlignment="1">
      <alignment/>
    </xf>
    <xf numFmtId="188" fontId="9" fillId="5" borderId="6" xfId="15" applyNumberFormat="1" applyFont="1" applyFill="1" applyBorder="1" applyAlignment="1">
      <alignment/>
    </xf>
    <xf numFmtId="188" fontId="9" fillId="7" borderId="16" xfId="15" applyNumberFormat="1" applyFont="1" applyFill="1" applyBorder="1" applyAlignment="1">
      <alignment/>
    </xf>
    <xf numFmtId="188" fontId="9" fillId="8" borderId="6" xfId="15" applyNumberFormat="1" applyFont="1" applyFill="1" applyBorder="1" applyAlignment="1">
      <alignment/>
    </xf>
    <xf numFmtId="188" fontId="9" fillId="9" borderId="16" xfId="15" applyNumberFormat="1" applyFont="1" applyFill="1" applyBorder="1" applyAlignment="1">
      <alignment/>
    </xf>
    <xf numFmtId="188" fontId="9" fillId="0" borderId="16" xfId="15" applyNumberFormat="1" applyFont="1" applyBorder="1" applyAlignment="1">
      <alignment/>
    </xf>
    <xf numFmtId="197" fontId="9" fillId="5" borderId="0" xfId="0" applyFont="1" applyFill="1" applyAlignment="1">
      <alignment/>
    </xf>
    <xf numFmtId="188" fontId="9" fillId="0" borderId="23" xfId="15" applyNumberFormat="1" applyFont="1" applyBorder="1" applyAlignment="1">
      <alignment/>
    </xf>
    <xf numFmtId="188" fontId="9" fillId="0" borderId="20" xfId="15" applyNumberFormat="1" applyFont="1" applyBorder="1" applyAlignment="1">
      <alignment/>
    </xf>
    <xf numFmtId="188" fontId="9" fillId="5" borderId="23" xfId="15" applyNumberFormat="1" applyFont="1" applyFill="1" applyBorder="1" applyAlignment="1">
      <alignment/>
    </xf>
    <xf numFmtId="188" fontId="9" fillId="6" borderId="23" xfId="15" applyNumberFormat="1" applyFont="1" applyFill="1" applyBorder="1" applyAlignment="1">
      <alignment/>
    </xf>
    <xf numFmtId="188" fontId="9" fillId="8" borderId="23" xfId="15" applyNumberFormat="1" applyFont="1" applyFill="1" applyBorder="1" applyAlignment="1">
      <alignment/>
    </xf>
    <xf numFmtId="188" fontId="9" fillId="9" borderId="16" xfId="15" applyNumberFormat="1" applyFont="1" applyFill="1" applyBorder="1" applyAlignment="1">
      <alignment/>
    </xf>
    <xf numFmtId="188" fontId="9" fillId="0" borderId="24" xfId="15" applyNumberFormat="1" applyFont="1" applyBorder="1" applyAlignment="1">
      <alignment/>
    </xf>
    <xf numFmtId="188" fontId="9" fillId="7" borderId="23" xfId="15" applyNumberFormat="1" applyFont="1" applyFill="1" applyBorder="1" applyAlignment="1">
      <alignment/>
    </xf>
    <xf numFmtId="188" fontId="9" fillId="9" borderId="25" xfId="15" applyNumberFormat="1" applyFont="1" applyFill="1" applyBorder="1" applyAlignment="1">
      <alignment/>
    </xf>
    <xf numFmtId="188" fontId="9" fillId="6" borderId="6" xfId="15" applyNumberFormat="1" applyFont="1" applyFill="1" applyBorder="1" applyAlignment="1">
      <alignment/>
    </xf>
    <xf numFmtId="188" fontId="9" fillId="7" borderId="6" xfId="15" applyNumberFormat="1" applyFont="1" applyFill="1" applyBorder="1" applyAlignment="1">
      <alignment/>
    </xf>
    <xf numFmtId="188" fontId="9" fillId="9" borderId="6" xfId="15" applyNumberFormat="1" applyFont="1" applyFill="1" applyBorder="1" applyAlignment="1">
      <alignment/>
    </xf>
    <xf numFmtId="188" fontId="9" fillId="7" borderId="13" xfId="15" applyNumberFormat="1" applyFont="1" applyFill="1" applyBorder="1" applyAlignment="1">
      <alignment/>
    </xf>
    <xf numFmtId="188" fontId="9" fillId="9" borderId="13" xfId="15" applyNumberFormat="1" applyFont="1" applyFill="1" applyBorder="1" applyAlignment="1">
      <alignment/>
    </xf>
    <xf numFmtId="188" fontId="9" fillId="7" borderId="26" xfId="15" applyNumberFormat="1" applyFont="1" applyFill="1" applyBorder="1" applyAlignment="1">
      <alignment/>
    </xf>
    <xf numFmtId="188" fontId="9" fillId="5" borderId="26" xfId="15" applyNumberFormat="1" applyFont="1" applyFill="1" applyBorder="1" applyAlignment="1">
      <alignment/>
    </xf>
    <xf numFmtId="188" fontId="9" fillId="8" borderId="26" xfId="15" applyNumberFormat="1" applyFont="1" applyFill="1" applyBorder="1" applyAlignment="1">
      <alignment/>
    </xf>
    <xf numFmtId="188" fontId="9" fillId="9" borderId="26" xfId="15" applyNumberFormat="1" applyFont="1" applyFill="1" applyBorder="1" applyAlignment="1">
      <alignment/>
    </xf>
    <xf numFmtId="188" fontId="9" fillId="7" borderId="10" xfId="15" applyNumberFormat="1" applyFont="1" applyFill="1" applyBorder="1" applyAlignment="1">
      <alignment/>
    </xf>
    <xf numFmtId="188" fontId="9" fillId="5" borderId="10" xfId="15" applyNumberFormat="1" applyFont="1" applyFill="1" applyBorder="1" applyAlignment="1">
      <alignment/>
    </xf>
    <xf numFmtId="188" fontId="9" fillId="8" borderId="10" xfId="15" applyNumberFormat="1" applyFont="1" applyFill="1" applyBorder="1" applyAlignment="1">
      <alignment/>
    </xf>
    <xf numFmtId="188" fontId="9" fillId="9" borderId="10" xfId="15" applyNumberFormat="1" applyFont="1" applyFill="1" applyBorder="1" applyAlignment="1">
      <alignment/>
    </xf>
    <xf numFmtId="188" fontId="9" fillId="9" borderId="14" xfId="15" applyNumberFormat="1" applyFont="1" applyFill="1" applyBorder="1" applyAlignment="1">
      <alignment/>
    </xf>
    <xf numFmtId="37" fontId="12" fillId="0" borderId="0" xfId="0" applyNumberFormat="1" applyFont="1" applyBorder="1" applyAlignment="1">
      <alignment horizontal="center"/>
    </xf>
    <xf numFmtId="188" fontId="9" fillId="5" borderId="16" xfId="15" applyNumberFormat="1" applyFont="1" applyFill="1" applyBorder="1" applyAlignment="1">
      <alignment/>
    </xf>
    <xf numFmtId="188" fontId="9" fillId="9" borderId="23" xfId="15" applyNumberFormat="1" applyFont="1" applyFill="1" applyBorder="1" applyAlignment="1">
      <alignment/>
    </xf>
    <xf numFmtId="188" fontId="9" fillId="0" borderId="23" xfId="15" applyNumberFormat="1" applyFont="1" applyFill="1" applyBorder="1" applyAlignment="1">
      <alignment/>
    </xf>
    <xf numFmtId="37" fontId="9" fillId="5" borderId="0" xfId="0" applyNumberFormat="1" applyFont="1" applyFill="1" applyBorder="1" applyAlignment="1">
      <alignment horizontal="center"/>
    </xf>
    <xf numFmtId="37" fontId="9" fillId="6" borderId="0" xfId="0" applyNumberFormat="1" applyFont="1" applyFill="1" applyBorder="1" applyAlignment="1">
      <alignment horizontal="center"/>
    </xf>
    <xf numFmtId="37" fontId="9" fillId="7" borderId="0" xfId="0" applyNumberFormat="1" applyFont="1" applyFill="1" applyBorder="1" applyAlignment="1">
      <alignment horizontal="center"/>
    </xf>
    <xf numFmtId="37" fontId="9" fillId="8" borderId="0" xfId="0" applyNumberFormat="1" applyFont="1" applyFill="1" applyBorder="1" applyAlignment="1">
      <alignment horizontal="center"/>
    </xf>
    <xf numFmtId="37" fontId="9" fillId="9" borderId="0" xfId="0" applyNumberFormat="1" applyFont="1" applyFill="1" applyBorder="1" applyAlignment="1">
      <alignment horizontal="center"/>
    </xf>
    <xf numFmtId="37" fontId="9" fillId="9" borderId="16" xfId="0" applyNumberFormat="1" applyFont="1" applyFill="1" applyBorder="1" applyAlignment="1">
      <alignment horizontal="center"/>
    </xf>
    <xf numFmtId="37" fontId="9" fillId="11" borderId="0" xfId="0" applyNumberFormat="1" applyFont="1" applyFill="1" applyAlignment="1">
      <alignment/>
    </xf>
    <xf numFmtId="37" fontId="9" fillId="11" borderId="0" xfId="0" applyNumberFormat="1" applyFont="1" applyFill="1" applyAlignment="1">
      <alignment horizontal="center"/>
    </xf>
    <xf numFmtId="37" fontId="9" fillId="10" borderId="17" xfId="0" applyNumberFormat="1" applyFont="1" applyFill="1" applyBorder="1" applyAlignment="1">
      <alignment/>
    </xf>
    <xf numFmtId="37" fontId="9" fillId="10" borderId="18" xfId="0" applyNumberFormat="1" applyFont="1" applyFill="1" applyBorder="1" applyAlignment="1">
      <alignment/>
    </xf>
    <xf numFmtId="37" fontId="12" fillId="10" borderId="18" xfId="0" applyNumberFormat="1" applyFont="1" applyFill="1" applyBorder="1" applyAlignment="1">
      <alignment horizontal="center"/>
    </xf>
    <xf numFmtId="198" fontId="12" fillId="10" borderId="16" xfId="0" applyNumberFormat="1" applyFont="1" applyFill="1" applyBorder="1" applyAlignment="1">
      <alignment horizontal="center"/>
    </xf>
    <xf numFmtId="37" fontId="9" fillId="10" borderId="0" xfId="0" applyNumberFormat="1" applyFont="1" applyFill="1" applyAlignment="1">
      <alignment/>
    </xf>
    <xf numFmtId="181" fontId="9" fillId="5" borderId="0" xfId="0" applyNumberFormat="1" applyFont="1" applyFill="1" applyAlignment="1">
      <alignment/>
    </xf>
    <xf numFmtId="181" fontId="9" fillId="10" borderId="17" xfId="0" applyNumberFormat="1" applyFont="1" applyFill="1" applyBorder="1" applyAlignment="1">
      <alignment/>
    </xf>
    <xf numFmtId="181" fontId="9" fillId="10" borderId="18" xfId="0" applyNumberFormat="1" applyFont="1" applyFill="1" applyBorder="1" applyAlignment="1">
      <alignment/>
    </xf>
    <xf numFmtId="181" fontId="12" fillId="10" borderId="16" xfId="0" applyNumberFormat="1" applyFont="1" applyFill="1" applyBorder="1" applyAlignment="1">
      <alignment horizontal="center"/>
    </xf>
    <xf numFmtId="181" fontId="12" fillId="10" borderId="18" xfId="0" applyNumberFormat="1" applyFont="1" applyFill="1" applyBorder="1" applyAlignment="1">
      <alignment horizontal="center"/>
    </xf>
    <xf numFmtId="181" fontId="9" fillId="10" borderId="16" xfId="0" applyNumberFormat="1" applyFont="1" applyFill="1" applyBorder="1" applyAlignment="1">
      <alignment horizontal="center"/>
    </xf>
    <xf numFmtId="181" fontId="9" fillId="1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37" fontId="9" fillId="0" borderId="18" xfId="0" applyNumberFormat="1" applyFont="1" applyBorder="1" applyAlignment="1">
      <alignment horizontal="center"/>
    </xf>
    <xf numFmtId="188" fontId="9" fillId="6" borderId="16" xfId="15" applyNumberFormat="1" applyFont="1" applyFill="1" applyBorder="1" applyAlignment="1">
      <alignment/>
    </xf>
    <xf numFmtId="188" fontId="9" fillId="7" borderId="16" xfId="15" applyNumberFormat="1" applyFont="1" applyFill="1" applyBorder="1" applyAlignment="1">
      <alignment/>
    </xf>
    <xf numFmtId="188" fontId="9" fillId="8" borderId="16" xfId="15" applyNumberFormat="1" applyFont="1" applyFill="1" applyBorder="1" applyAlignment="1">
      <alignment/>
    </xf>
    <xf numFmtId="37" fontId="12" fillId="0" borderId="18" xfId="0" applyNumberFormat="1" applyFont="1" applyBorder="1" applyAlignment="1">
      <alignment horizontal="center"/>
    </xf>
    <xf numFmtId="188" fontId="9" fillId="5" borderId="13" xfId="15" applyNumberFormat="1" applyFont="1" applyFill="1" applyBorder="1" applyAlignment="1">
      <alignment/>
    </xf>
    <xf numFmtId="188" fontId="9" fillId="8" borderId="13" xfId="15" applyNumberFormat="1" applyFont="1" applyFill="1" applyBorder="1" applyAlignment="1">
      <alignment/>
    </xf>
    <xf numFmtId="188" fontId="9" fillId="5" borderId="20" xfId="15" applyNumberFormat="1" applyFont="1" applyFill="1" applyBorder="1" applyAlignment="1">
      <alignment/>
    </xf>
    <xf numFmtId="188" fontId="9" fillId="6" borderId="20" xfId="15" applyNumberFormat="1" applyFont="1" applyFill="1" applyBorder="1" applyAlignment="1">
      <alignment/>
    </xf>
    <xf numFmtId="188" fontId="9" fillId="7" borderId="20" xfId="15" applyNumberFormat="1" applyFont="1" applyFill="1" applyBorder="1" applyAlignment="1">
      <alignment/>
    </xf>
    <xf numFmtId="188" fontId="9" fillId="8" borderId="20" xfId="15" applyNumberFormat="1" applyFont="1" applyFill="1" applyBorder="1" applyAlignment="1">
      <alignment/>
    </xf>
    <xf numFmtId="188" fontId="9" fillId="9" borderId="20" xfId="15" applyNumberFormat="1" applyFont="1" applyFill="1" applyBorder="1" applyAlignment="1">
      <alignment/>
    </xf>
    <xf numFmtId="188" fontId="9" fillId="0" borderId="20" xfId="15" applyNumberFormat="1" applyFont="1" applyFill="1" applyBorder="1" applyAlignment="1">
      <alignment/>
    </xf>
    <xf numFmtId="188" fontId="9" fillId="8" borderId="22" xfId="15" applyNumberFormat="1" applyFont="1" applyFill="1" applyBorder="1" applyAlignment="1">
      <alignment/>
    </xf>
    <xf numFmtId="199" fontId="9" fillId="5" borderId="0" xfId="15" applyNumberFormat="1" applyFont="1" applyFill="1" applyAlignment="1">
      <alignment/>
    </xf>
    <xf numFmtId="199" fontId="9" fillId="0" borderId="0" xfId="15" applyNumberFormat="1" applyFont="1" applyAlignment="1">
      <alignment/>
    </xf>
    <xf numFmtId="199" fontId="9" fillId="0" borderId="0" xfId="15" applyNumberFormat="1" applyFont="1" applyAlignment="1">
      <alignment horizontal="center"/>
    </xf>
    <xf numFmtId="199" fontId="9" fillId="0" borderId="0" xfId="15" applyNumberFormat="1" applyFont="1" applyAlignment="1">
      <alignment/>
    </xf>
    <xf numFmtId="199" fontId="9" fillId="5" borderId="0" xfId="15" applyNumberFormat="1" applyFont="1" applyFill="1" applyAlignment="1">
      <alignment/>
    </xf>
    <xf numFmtId="199" fontId="9" fillId="6" borderId="0" xfId="15" applyNumberFormat="1" applyFont="1" applyFill="1" applyAlignment="1">
      <alignment/>
    </xf>
    <xf numFmtId="199" fontId="9" fillId="7" borderId="0" xfId="15" applyNumberFormat="1" applyFont="1" applyFill="1" applyAlignment="1">
      <alignment/>
    </xf>
    <xf numFmtId="171" fontId="9" fillId="5" borderId="0" xfId="15" applyFont="1" applyFill="1" applyAlignment="1">
      <alignment/>
    </xf>
    <xf numFmtId="199" fontId="9" fillId="8" borderId="0" xfId="15" applyNumberFormat="1" applyFont="1" applyFill="1" applyAlignment="1">
      <alignment/>
    </xf>
    <xf numFmtId="199" fontId="9" fillId="9" borderId="0" xfId="15" applyNumberFormat="1" applyFont="1" applyFill="1" applyAlignment="1">
      <alignment/>
    </xf>
    <xf numFmtId="171" fontId="9" fillId="9" borderId="0" xfId="15" applyFont="1" applyFill="1" applyAlignment="1">
      <alignment horizontal="center"/>
    </xf>
    <xf numFmtId="37" fontId="12" fillId="0" borderId="0" xfId="15" applyNumberFormat="1" applyFont="1" applyAlignment="1" quotePrefix="1">
      <alignment horizontal="left"/>
    </xf>
    <xf numFmtId="37" fontId="9" fillId="0" borderId="0" xfId="15" applyNumberFormat="1" applyFont="1" applyAlignment="1">
      <alignment horizontal="left"/>
    </xf>
    <xf numFmtId="37" fontId="9" fillId="0" borderId="0" xfId="15" applyNumberFormat="1" applyFont="1" applyAlignment="1">
      <alignment horizontal="right"/>
    </xf>
    <xf numFmtId="37" fontId="12" fillId="0" borderId="0" xfId="15" applyNumberFormat="1" applyFont="1" applyAlignment="1">
      <alignment horizontal="right"/>
    </xf>
    <xf numFmtId="37" fontId="12" fillId="0" borderId="0" xfId="15" applyNumberFormat="1" applyFont="1" applyAlignment="1">
      <alignment horizontal="left"/>
    </xf>
    <xf numFmtId="37" fontId="9" fillId="0" borderId="17" xfId="15" applyNumberFormat="1" applyFont="1" applyBorder="1" applyAlignment="1">
      <alignment horizontal="left"/>
    </xf>
    <xf numFmtId="37" fontId="9" fillId="0" borderId="18" xfId="15" applyNumberFormat="1" applyFont="1" applyBorder="1" applyAlignment="1">
      <alignment horizontal="left"/>
    </xf>
    <xf numFmtId="37" fontId="9" fillId="0" borderId="18" xfId="15" applyNumberFormat="1" applyFont="1" applyBorder="1" applyAlignment="1">
      <alignment horizontal="right"/>
    </xf>
    <xf numFmtId="37" fontId="9" fillId="0" borderId="17" xfId="15" applyNumberFormat="1" applyFont="1" applyBorder="1" applyAlignment="1" quotePrefix="1">
      <alignment horizontal="right"/>
    </xf>
    <xf numFmtId="37" fontId="9" fillId="0" borderId="18" xfId="15" applyNumberFormat="1" applyFont="1" applyBorder="1" applyAlignment="1" quotePrefix="1">
      <alignment horizontal="right"/>
    </xf>
    <xf numFmtId="37" fontId="9" fillId="0" borderId="19" xfId="15" applyNumberFormat="1" applyFont="1" applyBorder="1" applyAlignment="1">
      <alignment horizontal="right"/>
    </xf>
    <xf numFmtId="37" fontId="9" fillId="0" borderId="16" xfId="15" applyNumberFormat="1" applyFont="1" applyBorder="1" applyAlignment="1">
      <alignment horizontal="right"/>
    </xf>
    <xf numFmtId="37" fontId="13" fillId="0" borderId="0" xfId="15" applyNumberFormat="1" applyFont="1" applyAlignment="1">
      <alignment horizontal="right"/>
    </xf>
    <xf numFmtId="37" fontId="9" fillId="0" borderId="16" xfId="15" applyNumberFormat="1" applyFont="1" applyBorder="1" applyAlignment="1" quotePrefix="1">
      <alignment horizontal="right"/>
    </xf>
    <xf numFmtId="37" fontId="9" fillId="0" borderId="19" xfId="15" applyNumberFormat="1" applyFont="1" applyBorder="1" applyAlignment="1" quotePrefix="1">
      <alignment horizontal="right"/>
    </xf>
    <xf numFmtId="37" fontId="12" fillId="0" borderId="16" xfId="15" applyNumberFormat="1" applyFont="1" applyBorder="1" applyAlignment="1">
      <alignment horizontal="right"/>
    </xf>
    <xf numFmtId="37" fontId="9" fillId="0" borderId="20" xfId="15" applyNumberFormat="1" applyFont="1" applyBorder="1" applyAlignment="1" quotePrefix="1">
      <alignment horizontal="right"/>
    </xf>
    <xf numFmtId="37" fontId="9" fillId="0" borderId="27" xfId="15" applyNumberFormat="1" applyFont="1" applyBorder="1" applyAlignment="1" quotePrefix="1">
      <alignment horizontal="right"/>
    </xf>
    <xf numFmtId="37" fontId="9" fillId="0" borderId="27" xfId="15" applyNumberFormat="1" applyFont="1" applyBorder="1" applyAlignment="1">
      <alignment horizontal="right"/>
    </xf>
    <xf numFmtId="37" fontId="9" fillId="0" borderId="14" xfId="15" applyNumberFormat="1" applyFont="1" applyBorder="1" applyAlignment="1" quotePrefix="1">
      <alignment horizontal="right"/>
    </xf>
    <xf numFmtId="37" fontId="9" fillId="0" borderId="2" xfId="15" applyNumberFormat="1" applyFont="1" applyBorder="1" applyAlignment="1" quotePrefix="1">
      <alignment horizontal="right"/>
    </xf>
    <xf numFmtId="37" fontId="9" fillId="0" borderId="2" xfId="15" applyNumberFormat="1" applyFont="1" applyBorder="1" applyAlignment="1">
      <alignment horizontal="right"/>
    </xf>
    <xf numFmtId="37" fontId="9" fillId="0" borderId="13" xfId="15" applyNumberFormat="1" applyFont="1" applyBorder="1" applyAlignment="1" quotePrefix="1">
      <alignment horizontal="right"/>
    </xf>
    <xf numFmtId="37" fontId="9" fillId="0" borderId="7" xfId="15" applyNumberFormat="1" applyFont="1" applyBorder="1" applyAlignment="1" quotePrefix="1">
      <alignment horizontal="right"/>
    </xf>
    <xf numFmtId="37" fontId="9" fillId="0" borderId="7" xfId="15" applyNumberFormat="1" applyFont="1" applyBorder="1" applyAlignment="1">
      <alignment horizontal="right"/>
    </xf>
    <xf numFmtId="37" fontId="9" fillId="0" borderId="6" xfId="15" applyNumberFormat="1" applyFont="1" applyBorder="1" applyAlignment="1" quotePrefix="1">
      <alignment horizontal="left"/>
    </xf>
    <xf numFmtId="37" fontId="9" fillId="0" borderId="17" xfId="15" applyNumberFormat="1" applyFont="1" applyBorder="1" applyAlignment="1" quotePrefix="1">
      <alignment horizontal="left"/>
    </xf>
    <xf numFmtId="37" fontId="9" fillId="0" borderId="28" xfId="15" applyNumberFormat="1" applyFont="1" applyBorder="1" applyAlignment="1">
      <alignment horizontal="right"/>
    </xf>
    <xf numFmtId="37" fontId="12" fillId="0" borderId="16" xfId="15" applyNumberFormat="1" applyFont="1" applyBorder="1" applyAlignment="1" quotePrefix="1">
      <alignment horizontal="right"/>
    </xf>
    <xf numFmtId="37" fontId="12" fillId="0" borderId="19" xfId="15" applyNumberFormat="1" applyFont="1" applyBorder="1" applyAlignment="1" quotePrefix="1">
      <alignment horizontal="right"/>
    </xf>
    <xf numFmtId="37" fontId="12" fillId="0" borderId="19" xfId="15" applyNumberFormat="1" applyFont="1" applyBorder="1" applyAlignment="1">
      <alignment horizontal="right"/>
    </xf>
    <xf numFmtId="37" fontId="12" fillId="0" borderId="0" xfId="15" applyNumberFormat="1" applyFont="1" applyAlignment="1" quotePrefix="1">
      <alignment horizontal="right"/>
    </xf>
    <xf numFmtId="37" fontId="9" fillId="0" borderId="3" xfId="15" applyNumberFormat="1" applyFont="1" applyBorder="1" applyAlignment="1">
      <alignment horizontal="right"/>
    </xf>
    <xf numFmtId="37" fontId="9" fillId="0" borderId="5" xfId="15" applyNumberFormat="1" applyFont="1" applyBorder="1" applyAlignment="1">
      <alignment horizontal="right"/>
    </xf>
    <xf numFmtId="37" fontId="12" fillId="0" borderId="0" xfId="0" applyNumberFormat="1" applyFont="1" applyAlignment="1" quotePrefix="1">
      <alignment horizontal="center"/>
    </xf>
    <xf numFmtId="37" fontId="12" fillId="0" borderId="8" xfId="0" applyNumberFormat="1" applyFont="1" applyBorder="1" applyAlignment="1">
      <alignment/>
    </xf>
    <xf numFmtId="188" fontId="12" fillId="0" borderId="2" xfId="15" applyNumberFormat="1" applyFont="1" applyBorder="1" applyAlignment="1">
      <alignment/>
    </xf>
    <xf numFmtId="37" fontId="9" fillId="0" borderId="3" xfId="0" applyNumberFormat="1" applyFont="1" applyBorder="1" applyAlignment="1" quotePrefix="1">
      <alignment horizontal="left"/>
    </xf>
    <xf numFmtId="197" fontId="9" fillId="0" borderId="8" xfId="0" applyFont="1" applyBorder="1" applyAlignment="1">
      <alignment/>
    </xf>
    <xf numFmtId="197" fontId="9" fillId="0" borderId="3" xfId="0" applyFont="1" applyBorder="1" applyAlignment="1">
      <alignment/>
    </xf>
    <xf numFmtId="37" fontId="9" fillId="0" borderId="3" xfId="0" applyNumberFormat="1" applyFont="1" applyBorder="1" applyAlignment="1">
      <alignment horizontal="left"/>
    </xf>
    <xf numFmtId="197" fontId="9" fillId="0" borderId="0" xfId="0" applyFont="1" applyBorder="1" applyAlignment="1">
      <alignment/>
    </xf>
    <xf numFmtId="188" fontId="9" fillId="0" borderId="29" xfId="15" applyNumberFormat="1" applyFont="1" applyBorder="1" applyAlignment="1">
      <alignment/>
    </xf>
    <xf numFmtId="188" fontId="12" fillId="0" borderId="30" xfId="15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37" fontId="12" fillId="0" borderId="0" xfId="0" applyNumberFormat="1" applyFont="1" applyAlignment="1" quotePrefix="1">
      <alignment horizontal="centerContinuous"/>
    </xf>
    <xf numFmtId="37" fontId="9" fillId="0" borderId="2" xfId="0" applyNumberFormat="1" applyFont="1" applyBorder="1" applyAlignment="1">
      <alignment horizontal="center"/>
    </xf>
    <xf numFmtId="197" fontId="3" fillId="0" borderId="0" xfId="0" applyFont="1" applyAlignment="1">
      <alignment/>
    </xf>
    <xf numFmtId="197" fontId="11" fillId="0" borderId="0" xfId="0" applyAlignment="1">
      <alignment/>
    </xf>
    <xf numFmtId="197" fontId="11" fillId="0" borderId="13" xfId="0" applyBorder="1" applyAlignment="1">
      <alignment/>
    </xf>
    <xf numFmtId="197" fontId="11" fillId="0" borderId="14" xfId="0" applyBorder="1" applyAlignment="1">
      <alignment/>
    </xf>
    <xf numFmtId="197" fontId="11" fillId="0" borderId="15" xfId="0" applyBorder="1" applyAlignment="1">
      <alignment/>
    </xf>
    <xf numFmtId="197" fontId="11" fillId="0" borderId="31" xfId="0" applyBorder="1" applyAlignment="1">
      <alignment/>
    </xf>
    <xf numFmtId="197" fontId="11" fillId="0" borderId="32" xfId="0" applyBorder="1" applyAlignment="1">
      <alignment/>
    </xf>
    <xf numFmtId="188" fontId="0" fillId="0" borderId="15" xfId="15" applyNumberFormat="1" applyBorder="1" applyAlignment="1">
      <alignment/>
    </xf>
    <xf numFmtId="188" fontId="3" fillId="0" borderId="15" xfId="15" applyNumberFormat="1" applyFont="1" applyBorder="1" applyAlignment="1">
      <alignment/>
    </xf>
    <xf numFmtId="188" fontId="0" fillId="0" borderId="31" xfId="15" applyNumberFormat="1" applyBorder="1" applyAlignment="1">
      <alignment/>
    </xf>
    <xf numFmtId="188" fontId="0" fillId="0" borderId="32" xfId="15" applyNumberFormat="1" applyBorder="1" applyAlignment="1">
      <alignment/>
    </xf>
    <xf numFmtId="188" fontId="3" fillId="0" borderId="32" xfId="15" applyNumberFormat="1" applyFont="1" applyBorder="1" applyAlignment="1">
      <alignment/>
    </xf>
    <xf numFmtId="188" fontId="0" fillId="0" borderId="14" xfId="15" applyNumberFormat="1" applyBorder="1" applyAlignment="1">
      <alignment/>
    </xf>
    <xf numFmtId="188" fontId="0" fillId="0" borderId="33" xfId="15" applyNumberFormat="1" applyBorder="1" applyAlignment="1">
      <alignment/>
    </xf>
    <xf numFmtId="188" fontId="0" fillId="0" borderId="34" xfId="15" applyNumberFormat="1" applyBorder="1" applyAlignment="1">
      <alignment/>
    </xf>
    <xf numFmtId="188" fontId="3" fillId="0" borderId="14" xfId="15" applyNumberFormat="1" applyFont="1" applyBorder="1" applyAlignment="1">
      <alignment/>
    </xf>
    <xf numFmtId="188" fontId="3" fillId="0" borderId="31" xfId="15" applyNumberFormat="1" applyFont="1" applyBorder="1" applyAlignment="1">
      <alignment/>
    </xf>
    <xf numFmtId="188" fontId="11" fillId="0" borderId="0" xfId="0" applyNumberFormat="1" applyAlignment="1">
      <alignment/>
    </xf>
    <xf numFmtId="3" fontId="11" fillId="0" borderId="15" xfId="0" applyNumberFormat="1" applyBorder="1" applyAlignment="1">
      <alignment/>
    </xf>
    <xf numFmtId="188" fontId="3" fillId="0" borderId="34" xfId="15" applyNumberFormat="1" applyFont="1" applyBorder="1" applyAlignment="1">
      <alignment/>
    </xf>
    <xf numFmtId="188" fontId="11" fillId="0" borderId="14" xfId="0" applyNumberFormat="1" applyBorder="1" applyAlignment="1">
      <alignment/>
    </xf>
    <xf numFmtId="197" fontId="11" fillId="0" borderId="0" xfId="0" applyBorder="1" applyAlignment="1">
      <alignment/>
    </xf>
    <xf numFmtId="188" fontId="0" fillId="0" borderId="0" xfId="15" applyNumberFormat="1" applyBorder="1" applyAlignment="1">
      <alignment/>
    </xf>
    <xf numFmtId="188" fontId="3" fillId="0" borderId="1" xfId="15" applyNumberFormat="1" applyFont="1" applyBorder="1" applyAlignment="1">
      <alignment/>
    </xf>
    <xf numFmtId="188" fontId="0" fillId="0" borderId="13" xfId="15" applyNumberFormat="1" applyBorder="1" applyAlignment="1">
      <alignment/>
    </xf>
    <xf numFmtId="188" fontId="0" fillId="0" borderId="1" xfId="15" applyNumberFormat="1" applyBorder="1" applyAlignment="1">
      <alignment/>
    </xf>
    <xf numFmtId="188" fontId="0" fillId="0" borderId="28" xfId="15" applyNumberFormat="1" applyBorder="1" applyAlignment="1">
      <alignment/>
    </xf>
    <xf numFmtId="197" fontId="11" fillId="0" borderId="35" xfId="0" applyBorder="1" applyAlignment="1">
      <alignment/>
    </xf>
    <xf numFmtId="197" fontId="11" fillId="0" borderId="36" xfId="0" applyBorder="1" applyAlignment="1">
      <alignment/>
    </xf>
    <xf numFmtId="188" fontId="0" fillId="0" borderId="0" xfId="15" applyNumberFormat="1" applyAlignment="1">
      <alignment/>
    </xf>
    <xf numFmtId="197" fontId="11" fillId="5" borderId="13" xfId="0" applyFill="1" applyBorder="1" applyAlignment="1">
      <alignment/>
    </xf>
    <xf numFmtId="197" fontId="3" fillId="5" borderId="13" xfId="0" applyFont="1" applyFill="1" applyBorder="1" applyAlignment="1">
      <alignment horizontal="center"/>
    </xf>
    <xf numFmtId="197" fontId="3" fillId="5" borderId="13" xfId="0" applyFont="1" applyFill="1" applyBorder="1" applyAlignment="1">
      <alignment horizontal="center" wrapText="1"/>
    </xf>
    <xf numFmtId="197" fontId="3" fillId="5" borderId="13" xfId="0" applyFont="1" applyFill="1" applyBorder="1" applyAlignment="1">
      <alignment/>
    </xf>
    <xf numFmtId="197" fontId="3" fillId="5" borderId="37" xfId="0" applyFont="1" applyFill="1" applyBorder="1" applyAlignment="1">
      <alignment horizontal="center" wrapText="1"/>
    </xf>
    <xf numFmtId="197" fontId="3" fillId="5" borderId="38" xfId="0" applyFont="1" applyFill="1" applyBorder="1" applyAlignment="1">
      <alignment horizontal="center"/>
    </xf>
    <xf numFmtId="197" fontId="3" fillId="5" borderId="39" xfId="0" applyFont="1" applyFill="1" applyBorder="1" applyAlignment="1">
      <alignment horizontal="center"/>
    </xf>
    <xf numFmtId="197" fontId="11" fillId="5" borderId="40" xfId="0" applyFill="1" applyBorder="1" applyAlignment="1">
      <alignment horizontal="center"/>
    </xf>
    <xf numFmtId="197" fontId="3" fillId="5" borderId="41" xfId="0" applyFont="1" applyFill="1" applyBorder="1" applyAlignment="1">
      <alignment horizontal="center" wrapText="1"/>
    </xf>
    <xf numFmtId="197" fontId="3" fillId="5" borderId="40" xfId="0" applyFont="1" applyFill="1" applyBorder="1" applyAlignment="1">
      <alignment horizontal="center"/>
    </xf>
    <xf numFmtId="197" fontId="11" fillId="5" borderId="14" xfId="0" applyFill="1" applyBorder="1" applyAlignment="1">
      <alignment/>
    </xf>
    <xf numFmtId="200" fontId="0" fillId="5" borderId="14" xfId="15" applyNumberFormat="1" applyFill="1" applyBorder="1" applyAlignment="1">
      <alignment/>
    </xf>
    <xf numFmtId="200" fontId="0" fillId="5" borderId="33" xfId="15" applyNumberFormat="1" applyFill="1" applyBorder="1" applyAlignment="1">
      <alignment/>
    </xf>
    <xf numFmtId="200" fontId="0" fillId="5" borderId="34" xfId="15" applyNumberFormat="1" applyFill="1" applyBorder="1" applyAlignment="1">
      <alignment/>
    </xf>
    <xf numFmtId="197" fontId="11" fillId="5" borderId="33" xfId="0" applyFill="1" applyBorder="1" applyAlignment="1">
      <alignment/>
    </xf>
    <xf numFmtId="197" fontId="11" fillId="5" borderId="34" xfId="0" applyFill="1" applyBorder="1" applyAlignment="1">
      <alignment/>
    </xf>
    <xf numFmtId="188" fontId="2" fillId="0" borderId="15" xfId="0" applyNumberFormat="1" applyFont="1" applyFill="1" applyBorder="1" applyAlignment="1">
      <alignment/>
    </xf>
    <xf numFmtId="37" fontId="12" fillId="0" borderId="19" xfId="0" applyNumberFormat="1" applyFont="1" applyBorder="1" applyAlignment="1">
      <alignment horizontal="center"/>
    </xf>
    <xf numFmtId="37" fontId="6" fillId="12" borderId="0" xfId="0" applyFont="1" applyFill="1" applyAlignment="1">
      <alignment/>
    </xf>
    <xf numFmtId="197" fontId="3" fillId="4" borderId="0" xfId="0" applyFont="1" applyFill="1" applyAlignment="1">
      <alignment/>
    </xf>
    <xf numFmtId="197" fontId="2" fillId="4" borderId="0" xfId="0" applyFont="1" applyFill="1" applyAlignment="1">
      <alignment/>
    </xf>
    <xf numFmtId="197" fontId="2" fillId="4" borderId="0" xfId="0" applyFont="1" applyFill="1" applyAlignment="1">
      <alignment/>
    </xf>
    <xf numFmtId="197" fontId="3" fillId="0" borderId="0" xfId="0" applyFont="1" applyFill="1" applyAlignment="1">
      <alignment vertical="center"/>
    </xf>
    <xf numFmtId="197" fontId="2" fillId="0" borderId="0" xfId="0" applyFont="1" applyFill="1" applyAlignment="1">
      <alignment vertical="center"/>
    </xf>
    <xf numFmtId="197" fontId="9" fillId="0" borderId="0" xfId="0" applyFont="1" applyFill="1" applyAlignment="1">
      <alignment vertical="center"/>
    </xf>
    <xf numFmtId="197" fontId="2" fillId="0" borderId="0" xfId="0" applyFont="1" applyFill="1" applyAlignment="1">
      <alignment/>
    </xf>
    <xf numFmtId="188" fontId="12" fillId="0" borderId="27" xfId="15" applyNumberFormat="1" applyFont="1" applyBorder="1" applyAlignment="1">
      <alignment/>
    </xf>
    <xf numFmtId="188" fontId="9" fillId="0" borderId="19" xfId="15" applyNumberFormat="1" applyFont="1" applyBorder="1" applyAlignment="1">
      <alignment/>
    </xf>
    <xf numFmtId="37" fontId="9" fillId="0" borderId="27" xfId="0" applyNumberFormat="1" applyFont="1" applyBorder="1" applyAlignment="1">
      <alignment/>
    </xf>
    <xf numFmtId="37" fontId="12" fillId="0" borderId="27" xfId="0" applyNumberFormat="1" applyFont="1" applyBorder="1" applyAlignment="1">
      <alignment/>
    </xf>
    <xf numFmtId="37" fontId="9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 horizontal="center"/>
    </xf>
    <xf numFmtId="37" fontId="16" fillId="0" borderId="0" xfId="0" applyNumberFormat="1" applyFont="1" applyFill="1" applyBorder="1" applyAlignment="1">
      <alignment horizontal="center"/>
    </xf>
    <xf numFmtId="37" fontId="12" fillId="5" borderId="19" xfId="0" applyNumberFormat="1" applyFont="1" applyFill="1" applyBorder="1" applyAlignment="1">
      <alignment horizontal="center"/>
    </xf>
    <xf numFmtId="188" fontId="8" fillId="0" borderId="15" xfId="0" applyNumberFormat="1" applyFont="1" applyFill="1" applyBorder="1" applyAlignment="1">
      <alignment/>
    </xf>
    <xf numFmtId="37" fontId="18" fillId="0" borderId="0" xfId="15" applyNumberFormat="1" applyFont="1" applyAlignment="1">
      <alignment/>
    </xf>
    <xf numFmtId="37" fontId="19" fillId="0" borderId="0" xfId="15" applyNumberFormat="1" applyAlignment="1">
      <alignment/>
    </xf>
    <xf numFmtId="37" fontId="18" fillId="0" borderId="0" xfId="15" applyNumberFormat="1" applyFont="1" applyAlignment="1">
      <alignment horizontal="center"/>
    </xf>
    <xf numFmtId="37" fontId="19" fillId="0" borderId="0" xfId="15" applyNumberFormat="1" applyAlignment="1" quotePrefix="1">
      <alignment/>
    </xf>
    <xf numFmtId="37" fontId="19" fillId="0" borderId="5" xfId="15" applyNumberFormat="1" applyBorder="1" applyAlignment="1">
      <alignment/>
    </xf>
    <xf numFmtId="182" fontId="19" fillId="0" borderId="4" xfId="15" applyNumberFormat="1" applyBorder="1" applyAlignment="1">
      <alignment/>
    </xf>
    <xf numFmtId="188" fontId="12" fillId="5" borderId="13" xfId="15" applyNumberFormat="1" applyFont="1" applyFill="1" applyBorder="1" applyAlignment="1">
      <alignment horizontal="center"/>
    </xf>
    <xf numFmtId="188" fontId="12" fillId="5" borderId="14" xfId="15" applyNumberFormat="1" applyFont="1" applyFill="1" applyBorder="1" applyAlignment="1">
      <alignment horizontal="center"/>
    </xf>
    <xf numFmtId="0" fontId="12" fillId="0" borderId="13" xfId="22" applyFont="1" applyFill="1" applyBorder="1" applyAlignment="1">
      <alignment horizontal="left"/>
      <protection/>
    </xf>
    <xf numFmtId="188" fontId="12" fillId="0" borderId="13" xfId="15" applyNumberFormat="1" applyFont="1" applyFill="1" applyBorder="1" applyAlignment="1">
      <alignment horizontal="center"/>
    </xf>
    <xf numFmtId="0" fontId="9" fillId="0" borderId="15" xfId="22" applyFont="1" applyBorder="1">
      <alignment/>
      <protection/>
    </xf>
    <xf numFmtId="202" fontId="9" fillId="0" borderId="15" xfId="22" applyNumberFormat="1" applyFont="1" applyFill="1" applyBorder="1">
      <alignment/>
      <protection/>
    </xf>
    <xf numFmtId="202" fontId="9" fillId="0" borderId="15" xfId="22" applyNumberFormat="1" applyFont="1" applyBorder="1">
      <alignment/>
      <protection/>
    </xf>
    <xf numFmtId="0" fontId="12" fillId="0" borderId="15" xfId="22" applyFont="1" applyBorder="1">
      <alignment/>
      <protection/>
    </xf>
    <xf numFmtId="202" fontId="12" fillId="0" borderId="16" xfId="22" applyNumberFormat="1" applyFont="1" applyFill="1" applyBorder="1">
      <alignment/>
      <protection/>
    </xf>
    <xf numFmtId="202" fontId="12" fillId="0" borderId="15" xfId="22" applyNumberFormat="1" applyFont="1" applyFill="1" applyBorder="1">
      <alignment/>
      <protection/>
    </xf>
    <xf numFmtId="202" fontId="12" fillId="0" borderId="15" xfId="22" applyNumberFormat="1" applyFont="1" applyBorder="1">
      <alignment/>
      <protection/>
    </xf>
    <xf numFmtId="0" fontId="12" fillId="0" borderId="14" xfId="22" applyFont="1" applyBorder="1">
      <alignment/>
      <protection/>
    </xf>
    <xf numFmtId="202" fontId="12" fillId="0" borderId="14" xfId="22" applyNumberFormat="1" applyFont="1" applyFill="1" applyBorder="1">
      <alignment/>
      <protection/>
    </xf>
    <xf numFmtId="202" fontId="12" fillId="0" borderId="14" xfId="22" applyNumberFormat="1" applyFont="1" applyBorder="1">
      <alignment/>
      <protection/>
    </xf>
    <xf numFmtId="202" fontId="12" fillId="0" borderId="16" xfId="22" applyNumberFormat="1" applyFont="1" applyBorder="1">
      <alignment/>
      <protection/>
    </xf>
    <xf numFmtId="188" fontId="12" fillId="5" borderId="15" xfId="15" applyNumberFormat="1" applyFont="1" applyFill="1" applyBorder="1" applyAlignment="1">
      <alignment horizontal="center"/>
    </xf>
    <xf numFmtId="188" fontId="9" fillId="0" borderId="15" xfId="15" applyNumberFormat="1" applyFont="1" applyFill="1" applyBorder="1" applyAlignment="1">
      <alignment/>
    </xf>
    <xf numFmtId="188" fontId="12" fillId="0" borderId="16" xfId="15" applyNumberFormat="1" applyFont="1" applyFill="1" applyBorder="1" applyAlignment="1">
      <alignment/>
    </xf>
    <xf numFmtId="188" fontId="12" fillId="0" borderId="15" xfId="15" applyNumberFormat="1" applyFont="1" applyFill="1" applyBorder="1" applyAlignment="1">
      <alignment/>
    </xf>
    <xf numFmtId="188" fontId="12" fillId="0" borderId="15" xfId="15" applyNumberFormat="1" applyFont="1" applyBorder="1" applyAlignment="1">
      <alignment/>
    </xf>
    <xf numFmtId="0" fontId="9" fillId="0" borderId="14" xfId="22" applyFont="1" applyBorder="1">
      <alignment/>
      <protection/>
    </xf>
    <xf numFmtId="202" fontId="12" fillId="5" borderId="16" xfId="22" applyNumberFormat="1" applyFont="1" applyFill="1" applyBorder="1" applyAlignment="1">
      <alignment horizontal="center"/>
      <protection/>
    </xf>
    <xf numFmtId="202" fontId="9" fillId="0" borderId="14" xfId="22" applyNumberFormat="1" applyFont="1" applyFill="1" applyBorder="1">
      <alignment/>
      <protection/>
    </xf>
    <xf numFmtId="202" fontId="9" fillId="0" borderId="14" xfId="22" applyNumberFormat="1" applyFont="1" applyBorder="1">
      <alignment/>
      <protection/>
    </xf>
    <xf numFmtId="0" fontId="12" fillId="0" borderId="6" xfId="22" applyFont="1" applyBorder="1">
      <alignment/>
      <protection/>
    </xf>
    <xf numFmtId="0" fontId="9" fillId="0" borderId="7" xfId="22" applyFont="1" applyBorder="1">
      <alignment/>
      <protection/>
    </xf>
    <xf numFmtId="0" fontId="9" fillId="0" borderId="10" xfId="22" applyFont="1" applyBorder="1">
      <alignment/>
      <protection/>
    </xf>
    <xf numFmtId="0" fontId="9" fillId="0" borderId="1" xfId="22" applyFont="1" applyBorder="1">
      <alignment/>
      <protection/>
    </xf>
    <xf numFmtId="0" fontId="9" fillId="0" borderId="10" xfId="22" applyFont="1" applyBorder="1" quotePrefix="1">
      <alignment/>
      <protection/>
    </xf>
    <xf numFmtId="0" fontId="9" fillId="0" borderId="8" xfId="22" applyFont="1" applyBorder="1">
      <alignment/>
      <protection/>
    </xf>
    <xf numFmtId="0" fontId="9" fillId="0" borderId="2" xfId="22" applyFont="1" applyBorder="1">
      <alignment/>
      <protection/>
    </xf>
    <xf numFmtId="202" fontId="9" fillId="0" borderId="16" xfId="22" applyNumberFormat="1" applyFont="1" applyFill="1" applyBorder="1">
      <alignment/>
      <protection/>
    </xf>
    <xf numFmtId="201" fontId="12" fillId="0" borderId="0" xfId="22" applyNumberFormat="1" applyFont="1" applyAlignment="1">
      <alignment/>
      <protection/>
    </xf>
    <xf numFmtId="0" fontId="9" fillId="0" borderId="0" xfId="22" applyFont="1" applyAlignment="1">
      <alignment vertical="center"/>
      <protection/>
    </xf>
    <xf numFmtId="202" fontId="9" fillId="0" borderId="0" xfId="22" applyNumberFormat="1" applyFont="1" applyFill="1" applyAlignment="1">
      <alignment vertical="center"/>
      <protection/>
    </xf>
    <xf numFmtId="202" fontId="9" fillId="0" borderId="0" xfId="22" applyNumberFormat="1" applyFont="1" applyAlignment="1">
      <alignment vertical="center"/>
      <protection/>
    </xf>
    <xf numFmtId="0" fontId="9" fillId="0" borderId="0" xfId="22" applyFont="1">
      <alignment/>
      <protection/>
    </xf>
    <xf numFmtId="201" fontId="9" fillId="0" borderId="0" xfId="22" applyNumberFormat="1" applyFont="1" applyAlignment="1">
      <alignment/>
      <protection/>
    </xf>
    <xf numFmtId="0" fontId="12" fillId="0" borderId="0" xfId="22" applyFont="1" applyAlignment="1">
      <alignment vertical="center"/>
      <protection/>
    </xf>
    <xf numFmtId="15" fontId="9" fillId="0" borderId="0" xfId="22" applyNumberFormat="1" applyFont="1" applyFill="1" applyAlignment="1">
      <alignment vertical="center"/>
      <protection/>
    </xf>
    <xf numFmtId="15" fontId="9" fillId="0" borderId="0" xfId="22" applyNumberFormat="1" applyFont="1" applyAlignment="1">
      <alignment vertical="center"/>
      <protection/>
    </xf>
    <xf numFmtId="202" fontId="12" fillId="5" borderId="13" xfId="22" applyNumberFormat="1" applyFont="1" applyFill="1" applyBorder="1" applyAlignment="1">
      <alignment horizontal="center" vertical="center"/>
      <protection/>
    </xf>
    <xf numFmtId="202" fontId="12" fillId="5" borderId="14" xfId="22" applyNumberFormat="1" applyFont="1" applyFill="1" applyBorder="1" applyAlignment="1">
      <alignment horizontal="center" vertical="center"/>
      <protection/>
    </xf>
    <xf numFmtId="0" fontId="9" fillId="0" borderId="0" xfId="22" applyFont="1" applyAlignment="1">
      <alignment/>
      <protection/>
    </xf>
    <xf numFmtId="202" fontId="9" fillId="0" borderId="0" xfId="22" applyNumberFormat="1" applyFont="1" applyFill="1" applyBorder="1" applyAlignment="1">
      <alignment vertical="center"/>
      <protection/>
    </xf>
    <xf numFmtId="202" fontId="9" fillId="0" borderId="3" xfId="22" applyNumberFormat="1" applyFont="1" applyFill="1" applyBorder="1" applyAlignment="1">
      <alignment horizontal="center" vertical="center"/>
      <protection/>
    </xf>
    <xf numFmtId="202" fontId="20" fillId="0" borderId="3" xfId="22" applyNumberFormat="1" applyFont="1" applyFill="1" applyBorder="1" applyAlignment="1">
      <alignment horizontal="center" vertical="center"/>
      <protection/>
    </xf>
    <xf numFmtId="202" fontId="9" fillId="0" borderId="0" xfId="17" applyNumberFormat="1" applyFont="1" applyFill="1" applyBorder="1" applyAlignment="1" applyProtection="1">
      <alignment vertical="center"/>
      <protection/>
    </xf>
    <xf numFmtId="202" fontId="9" fillId="0" borderId="0" xfId="22" applyNumberFormat="1" applyFont="1" applyFill="1">
      <alignment/>
      <protection/>
    </xf>
    <xf numFmtId="202" fontId="9" fillId="0" borderId="3" xfId="22" applyNumberFormat="1" applyFont="1" applyFill="1" applyBorder="1" applyAlignment="1">
      <alignment vertical="center"/>
      <protection/>
    </xf>
    <xf numFmtId="0" fontId="9" fillId="0" borderId="0" xfId="22" applyFont="1" applyBorder="1" applyAlignment="1">
      <alignment/>
      <protection/>
    </xf>
    <xf numFmtId="0" fontId="9" fillId="0" borderId="0" xfId="22" applyFont="1" applyBorder="1" applyAlignment="1">
      <alignment vertical="center"/>
      <protection/>
    </xf>
    <xf numFmtId="0" fontId="9" fillId="0" borderId="0" xfId="22" applyFont="1" applyBorder="1">
      <alignment/>
      <protection/>
    </xf>
    <xf numFmtId="202" fontId="9" fillId="0" borderId="3" xfId="15" applyNumberFormat="1" applyFont="1" applyFill="1" applyBorder="1" applyAlignment="1">
      <alignment vertical="center"/>
    </xf>
    <xf numFmtId="202" fontId="9" fillId="0" borderId="0" xfId="17" applyNumberFormat="1" applyFont="1" applyFill="1" applyBorder="1" applyAlignment="1" applyProtection="1">
      <alignment horizontal="center" vertical="center"/>
      <protection/>
    </xf>
    <xf numFmtId="202" fontId="9" fillId="0" borderId="3" xfId="17" applyNumberFormat="1" applyFont="1" applyFill="1" applyBorder="1" applyAlignment="1" applyProtection="1">
      <alignment vertical="center"/>
      <protection/>
    </xf>
    <xf numFmtId="202" fontId="9" fillId="0" borderId="42" xfId="15" applyNumberFormat="1" applyFont="1" applyFill="1" applyBorder="1" applyAlignment="1" applyProtection="1">
      <alignment vertical="center"/>
      <protection/>
    </xf>
    <xf numFmtId="202" fontId="9" fillId="0" borderId="42" xfId="22" applyNumberFormat="1" applyFont="1" applyFill="1" applyBorder="1" applyAlignment="1">
      <alignment vertical="center"/>
      <protection/>
    </xf>
    <xf numFmtId="0" fontId="9" fillId="0" borderId="0" xfId="22" applyFont="1" applyFill="1" applyBorder="1" applyAlignment="1">
      <alignment vertical="center"/>
      <protection/>
    </xf>
    <xf numFmtId="202" fontId="9" fillId="0" borderId="42" xfId="17" applyNumberFormat="1" applyFont="1" applyFill="1" applyBorder="1" applyAlignment="1" applyProtection="1">
      <alignment vertical="center"/>
      <protection/>
    </xf>
    <xf numFmtId="202" fontId="9" fillId="0" borderId="0" xfId="22" applyNumberFormat="1" applyFont="1" applyFill="1" applyAlignment="1" applyProtection="1">
      <alignment vertical="center"/>
      <protection/>
    </xf>
    <xf numFmtId="202" fontId="9" fillId="0" borderId="0" xfId="22" applyNumberFormat="1" applyFont="1" applyAlignment="1" applyProtection="1">
      <alignment vertical="center"/>
      <protection/>
    </xf>
    <xf numFmtId="202" fontId="12" fillId="0" borderId="0" xfId="22" applyNumberFormat="1" applyFont="1" applyFill="1" applyAlignment="1">
      <alignment horizontal="center" vertical="center"/>
      <protection/>
    </xf>
    <xf numFmtId="202" fontId="12" fillId="0" borderId="0" xfId="22" applyNumberFormat="1" applyFont="1" applyAlignment="1">
      <alignment horizontal="center" vertical="center"/>
      <protection/>
    </xf>
    <xf numFmtId="202" fontId="9" fillId="0" borderId="0" xfId="22" applyNumberFormat="1" applyFont="1" applyFill="1" applyBorder="1">
      <alignment/>
      <protection/>
    </xf>
    <xf numFmtId="202" fontId="9" fillId="0" borderId="0" xfId="22" applyNumberFormat="1" applyFont="1" applyBorder="1">
      <alignment/>
      <protection/>
    </xf>
    <xf numFmtId="0" fontId="9" fillId="0" borderId="0" xfId="22" applyFont="1" applyFill="1" applyAlignment="1">
      <alignment vertical="center"/>
      <protection/>
    </xf>
    <xf numFmtId="202" fontId="9" fillId="0" borderId="3" xfId="22" applyNumberFormat="1" applyFont="1" applyFill="1" applyBorder="1">
      <alignment/>
      <protection/>
    </xf>
    <xf numFmtId="202" fontId="9" fillId="0" borderId="13" xfId="22" applyNumberFormat="1" applyFont="1" applyFill="1" applyBorder="1">
      <alignment/>
      <protection/>
    </xf>
    <xf numFmtId="202" fontId="9" fillId="0" borderId="14" xfId="15" applyNumberFormat="1" applyFont="1" applyFill="1" applyBorder="1" applyAlignment="1" applyProtection="1">
      <alignment vertical="center"/>
      <protection/>
    </xf>
    <xf numFmtId="202" fontId="9" fillId="0" borderId="3" xfId="15" applyNumberFormat="1" applyFont="1" applyFill="1" applyBorder="1" applyAlignment="1" applyProtection="1">
      <alignment vertical="center"/>
      <protection/>
    </xf>
    <xf numFmtId="202" fontId="9" fillId="0" borderId="3" xfId="15" applyNumberFormat="1" applyFont="1" applyBorder="1" applyAlignment="1" applyProtection="1">
      <alignment vertical="center"/>
      <protection/>
    </xf>
    <xf numFmtId="202" fontId="9" fillId="0" borderId="0" xfId="22" applyNumberFormat="1" applyFont="1">
      <alignment/>
      <protection/>
    </xf>
    <xf numFmtId="202" fontId="9" fillId="0" borderId="0" xfId="15" applyNumberFormat="1" applyFont="1" applyFill="1" applyBorder="1" applyAlignment="1" applyProtection="1">
      <alignment vertical="center"/>
      <protection/>
    </xf>
    <xf numFmtId="202" fontId="9" fillId="0" borderId="0" xfId="15" applyNumberFormat="1" applyFont="1" applyBorder="1" applyAlignment="1" applyProtection="1">
      <alignment vertical="center"/>
      <protection/>
    </xf>
    <xf numFmtId="202" fontId="9" fillId="0" borderId="0" xfId="15" applyNumberFormat="1" applyFont="1" applyFill="1" applyAlignment="1" applyProtection="1">
      <alignment vertical="center"/>
      <protection/>
    </xf>
    <xf numFmtId="202" fontId="9" fillId="0" borderId="0" xfId="15" applyNumberFormat="1" applyFont="1" applyAlignment="1" applyProtection="1">
      <alignment vertical="center"/>
      <protection/>
    </xf>
    <xf numFmtId="202" fontId="9" fillId="0" borderId="3" xfId="15" applyNumberFormat="1" applyFont="1" applyBorder="1" applyAlignment="1">
      <alignment horizontal="right"/>
    </xf>
    <xf numFmtId="202" fontId="9" fillId="0" borderId="0" xfId="22" applyNumberFormat="1" applyFont="1" applyFill="1" applyBorder="1" applyAlignment="1" applyProtection="1">
      <alignment vertical="center"/>
      <protection/>
    </xf>
    <xf numFmtId="202" fontId="9" fillId="0" borderId="0" xfId="22" applyNumberFormat="1" applyFont="1" applyBorder="1" applyAlignment="1" applyProtection="1">
      <alignment vertical="center"/>
      <protection/>
    </xf>
    <xf numFmtId="202" fontId="9" fillId="0" borderId="42" xfId="22" applyNumberFormat="1" applyFont="1" applyFill="1" applyBorder="1" applyAlignment="1" applyProtection="1">
      <alignment vertical="center"/>
      <protection/>
    </xf>
    <xf numFmtId="202" fontId="9" fillId="0" borderId="42" xfId="22" applyNumberFormat="1" applyFont="1" applyBorder="1" applyAlignment="1" applyProtection="1">
      <alignment vertical="center"/>
      <protection/>
    </xf>
    <xf numFmtId="188" fontId="9" fillId="0" borderId="0" xfId="22" applyNumberFormat="1" applyFont="1">
      <alignment/>
      <protection/>
    </xf>
    <xf numFmtId="202" fontId="12" fillId="0" borderId="0" xfId="22" applyNumberFormat="1" applyFont="1" applyFill="1" applyBorder="1" applyAlignment="1">
      <alignment horizontal="center" vertical="center"/>
      <protection/>
    </xf>
    <xf numFmtId="169" fontId="9" fillId="0" borderId="0" xfId="22" applyNumberFormat="1" applyFont="1">
      <alignment/>
      <protection/>
    </xf>
    <xf numFmtId="202" fontId="9" fillId="0" borderId="3" xfId="22" applyNumberFormat="1" applyFont="1" applyBorder="1">
      <alignment/>
      <protection/>
    </xf>
    <xf numFmtId="0" fontId="9" fillId="0" borderId="3" xfId="22" applyFont="1" applyBorder="1">
      <alignment/>
      <protection/>
    </xf>
    <xf numFmtId="188" fontId="9" fillId="0" borderId="3" xfId="15" applyNumberFormat="1" applyFont="1" applyBorder="1" applyAlignment="1">
      <alignment/>
    </xf>
    <xf numFmtId="202" fontId="12" fillId="0" borderId="0" xfId="22" applyNumberFormat="1" applyFont="1" applyFill="1" applyBorder="1">
      <alignment/>
      <protection/>
    </xf>
    <xf numFmtId="202" fontId="9" fillId="0" borderId="13" xfId="22" applyNumberFormat="1" applyFont="1" applyBorder="1">
      <alignment/>
      <protection/>
    </xf>
    <xf numFmtId="202" fontId="9" fillId="0" borderId="18" xfId="22" applyNumberFormat="1" applyFont="1" applyFill="1" applyBorder="1">
      <alignment/>
      <protection/>
    </xf>
    <xf numFmtId="0" fontId="12" fillId="0" borderId="0" xfId="22" applyFont="1">
      <alignment/>
      <protection/>
    </xf>
    <xf numFmtId="197" fontId="2" fillId="0" borderId="0" xfId="0" applyFont="1" applyAlignment="1">
      <alignment/>
    </xf>
    <xf numFmtId="188" fontId="12" fillId="0" borderId="0" xfId="15" applyNumberFormat="1" applyFont="1" applyAlignment="1">
      <alignment/>
    </xf>
    <xf numFmtId="0" fontId="9" fillId="0" borderId="0" xfId="22" applyFont="1" applyFill="1">
      <alignment/>
      <protection/>
    </xf>
    <xf numFmtId="194" fontId="9" fillId="0" borderId="0" xfId="15" applyNumberFormat="1" applyFont="1" applyAlignment="1">
      <alignment/>
    </xf>
    <xf numFmtId="203" fontId="12" fillId="0" borderId="0" xfId="22" applyNumberFormat="1" applyFont="1">
      <alignment/>
      <protection/>
    </xf>
    <xf numFmtId="0" fontId="12" fillId="0" borderId="10" xfId="22" applyFont="1" applyBorder="1">
      <alignment/>
      <protection/>
    </xf>
    <xf numFmtId="0" fontId="12" fillId="0" borderId="1" xfId="22" applyFont="1" applyBorder="1">
      <alignment/>
      <protection/>
    </xf>
    <xf numFmtId="0" fontId="12" fillId="0" borderId="2" xfId="22" applyFont="1" applyBorder="1">
      <alignment/>
      <protection/>
    </xf>
    <xf numFmtId="0" fontId="12" fillId="5" borderId="6" xfId="22" applyFont="1" applyFill="1" applyBorder="1">
      <alignment/>
      <protection/>
    </xf>
    <xf numFmtId="0" fontId="9" fillId="5" borderId="7" xfId="22" applyFont="1" applyFill="1" applyBorder="1">
      <alignment/>
      <protection/>
    </xf>
    <xf numFmtId="0" fontId="9" fillId="5" borderId="10" xfId="22" applyFont="1" applyFill="1" applyBorder="1">
      <alignment/>
      <protection/>
    </xf>
    <xf numFmtId="0" fontId="9" fillId="5" borderId="1" xfId="22" applyFont="1" applyFill="1" applyBorder="1">
      <alignment/>
      <protection/>
    </xf>
    <xf numFmtId="0" fontId="9" fillId="5" borderId="8" xfId="22" applyFont="1" applyFill="1" applyBorder="1">
      <alignment/>
      <protection/>
    </xf>
    <xf numFmtId="0" fontId="12" fillId="5" borderId="2" xfId="22" applyFont="1" applyFill="1" applyBorder="1">
      <alignment/>
      <protection/>
    </xf>
    <xf numFmtId="0" fontId="12" fillId="0" borderId="8" xfId="22" applyFont="1" applyBorder="1">
      <alignment/>
      <protection/>
    </xf>
    <xf numFmtId="0" fontId="12" fillId="0" borderId="7" xfId="22" applyFont="1" applyBorder="1">
      <alignment/>
      <protection/>
    </xf>
    <xf numFmtId="202" fontId="12" fillId="0" borderId="13" xfId="22" applyNumberFormat="1" applyFont="1" applyFill="1" applyBorder="1" applyAlignment="1">
      <alignment horizontal="center" vertical="center" wrapText="1"/>
      <protection/>
    </xf>
    <xf numFmtId="202" fontId="12" fillId="0" borderId="10" xfId="22" applyNumberFormat="1" applyFont="1" applyFill="1" applyBorder="1">
      <alignment/>
      <protection/>
    </xf>
    <xf numFmtId="202" fontId="12" fillId="0" borderId="43" xfId="22" applyNumberFormat="1" applyFont="1" applyFill="1" applyBorder="1">
      <alignment/>
      <protection/>
    </xf>
    <xf numFmtId="202" fontId="12" fillId="0" borderId="44" xfId="22" applyNumberFormat="1" applyFont="1" applyFill="1" applyBorder="1">
      <alignment/>
      <protection/>
    </xf>
    <xf numFmtId="188" fontId="3" fillId="0" borderId="8" xfId="0" applyNumberFormat="1" applyFont="1" applyFill="1" applyBorder="1" applyAlignment="1">
      <alignment/>
    </xf>
    <xf numFmtId="188" fontId="3" fillId="0" borderId="2" xfId="0" applyNumberFormat="1" applyFont="1" applyFill="1" applyBorder="1" applyAlignment="1">
      <alignment/>
    </xf>
    <xf numFmtId="37" fontId="2" fillId="2" borderId="14" xfId="0" applyFont="1" applyBorder="1" applyAlignment="1">
      <alignment horizontal="center" wrapText="1"/>
    </xf>
    <xf numFmtId="0" fontId="12" fillId="5" borderId="6" xfId="22" applyFont="1" applyFill="1" applyBorder="1" applyAlignment="1">
      <alignment vertical="center" wrapText="1"/>
      <protection/>
    </xf>
    <xf numFmtId="37" fontId="12" fillId="0" borderId="0" xfId="0" applyNumberFormat="1" applyFont="1" applyAlignment="1">
      <alignment horizontal="center"/>
    </xf>
    <xf numFmtId="37" fontId="12" fillId="0" borderId="17" xfId="0" applyNumberFormat="1" applyFont="1" applyBorder="1" applyAlignment="1">
      <alignment horizontal="center"/>
    </xf>
    <xf numFmtId="37" fontId="12" fillId="0" borderId="19" xfId="0" applyNumberFormat="1" applyFont="1" applyBorder="1" applyAlignment="1">
      <alignment horizontal="center"/>
    </xf>
    <xf numFmtId="0" fontId="12" fillId="5" borderId="13" xfId="22" applyFont="1" applyFill="1" applyBorder="1" applyAlignment="1">
      <alignment horizontal="center" wrapText="1"/>
      <protection/>
    </xf>
    <xf numFmtId="37" fontId="2" fillId="2" borderId="15" xfId="0" applyFont="1" applyBorder="1" applyAlignment="1">
      <alignment horizontal="center" wrapText="1"/>
    </xf>
    <xf numFmtId="202" fontId="12" fillId="5" borderId="16" xfId="22" applyNumberFormat="1" applyFont="1" applyFill="1" applyBorder="1" applyAlignment="1">
      <alignment horizontal="center"/>
      <protection/>
    </xf>
    <xf numFmtId="37" fontId="3" fillId="4" borderId="0" xfId="0" applyFont="1" applyFill="1" applyAlignment="1">
      <alignment horizontal="center"/>
    </xf>
    <xf numFmtId="37" fontId="1" fillId="2" borderId="0" xfId="0" applyFont="1" applyAlignment="1">
      <alignment horizontal="center"/>
    </xf>
    <xf numFmtId="37" fontId="2" fillId="4" borderId="0" xfId="0" applyFont="1" applyFill="1" applyAlignment="1">
      <alignment horizontal="center" vertical="top" wrapText="1"/>
    </xf>
    <xf numFmtId="37" fontId="0" fillId="2" borderId="0" xfId="0" applyAlignment="1">
      <alignment wrapText="1"/>
    </xf>
    <xf numFmtId="37" fontId="1" fillId="4" borderId="0" xfId="0" applyFont="1" applyFill="1" applyAlignment="1">
      <alignment horizontal="center"/>
    </xf>
    <xf numFmtId="37" fontId="1" fillId="4" borderId="0" xfId="0" applyFont="1" applyFill="1" applyAlignment="1" quotePrefix="1">
      <alignment horizontal="center"/>
    </xf>
    <xf numFmtId="37" fontId="3" fillId="4" borderId="0" xfId="0" applyFont="1" applyFill="1" applyAlignment="1" quotePrefix="1">
      <alignment horizontal="center"/>
    </xf>
    <xf numFmtId="37" fontId="2" fillId="4" borderId="0" xfId="0" applyFont="1" applyFill="1" applyAlignment="1">
      <alignment horizontal="center" vertical="center" wrapText="1"/>
    </xf>
    <xf numFmtId="37" fontId="0" fillId="2" borderId="0" xfId="0" applyAlignment="1">
      <alignment horizontal="center" vertical="center" wrapText="1"/>
    </xf>
    <xf numFmtId="37" fontId="3" fillId="4" borderId="17" xfId="0" applyFont="1" applyFill="1" applyBorder="1" applyAlignment="1">
      <alignment horizontal="center"/>
    </xf>
    <xf numFmtId="37" fontId="3" fillId="4" borderId="19" xfId="0" applyFont="1" applyFill="1" applyBorder="1" applyAlignment="1">
      <alignment horizontal="center"/>
    </xf>
    <xf numFmtId="37" fontId="3" fillId="4" borderId="0" xfId="0" applyFont="1" applyFill="1" applyAlignment="1" quotePrefix="1">
      <alignment horizontal="justify" vertical="center"/>
    </xf>
    <xf numFmtId="37" fontId="0" fillId="2" borderId="0" xfId="0" applyAlignment="1">
      <alignment horizontal="justify" vertical="center"/>
    </xf>
    <xf numFmtId="37" fontId="3" fillId="4" borderId="0" xfId="0" applyFont="1" applyFill="1" applyAlignment="1">
      <alignment horizontal="justify" vertical="center"/>
    </xf>
    <xf numFmtId="37" fontId="2" fillId="2" borderId="0" xfId="0" applyFont="1" applyAlignment="1">
      <alignment horizontal="justify" vertical="center"/>
    </xf>
    <xf numFmtId="37" fontId="1" fillId="4" borderId="0" xfId="0" applyFont="1" applyFill="1" applyAlignment="1">
      <alignment horizontal="center" vertical="center"/>
    </xf>
    <xf numFmtId="37" fontId="0" fillId="2" borderId="0" xfId="0" applyAlignment="1">
      <alignment horizontal="center" vertical="center"/>
    </xf>
    <xf numFmtId="37" fontId="2" fillId="4" borderId="0" xfId="0" applyFont="1" applyFill="1" applyAlignment="1">
      <alignment horizontal="center" vertical="center"/>
    </xf>
    <xf numFmtId="37" fontId="1" fillId="4" borderId="0" xfId="0" applyFont="1" applyFill="1" applyAlignment="1" quotePrefix="1">
      <alignment horizontal="center" vertical="center"/>
    </xf>
    <xf numFmtId="37" fontId="2" fillId="4" borderId="0" xfId="0" applyFont="1" applyFill="1" applyAlignment="1" quotePrefix="1">
      <alignment horizontal="center" vertical="center"/>
    </xf>
    <xf numFmtId="37" fontId="2" fillId="4" borderId="0" xfId="0" applyFont="1" applyFill="1" applyAlignment="1">
      <alignment horizontal="center"/>
    </xf>
    <xf numFmtId="37" fontId="2" fillId="2" borderId="0" xfId="0" applyFont="1" applyAlignment="1">
      <alignment horizontal="center"/>
    </xf>
    <xf numFmtId="37" fontId="2" fillId="4" borderId="0" xfId="0" applyFont="1" applyFill="1" applyAlignment="1" quotePrefix="1">
      <alignment horizontal="center"/>
    </xf>
    <xf numFmtId="37" fontId="2" fillId="2" borderId="0" xfId="0" applyFont="1" applyAlignment="1">
      <alignment horizontal="justify" vertical="center"/>
    </xf>
    <xf numFmtId="37" fontId="0" fillId="2" borderId="0" xfId="0" applyAlignment="1">
      <alignment horizontal="center"/>
    </xf>
    <xf numFmtId="0" fontId="12" fillId="5" borderId="7" xfId="22" applyFont="1" applyFill="1" applyBorder="1" applyAlignment="1">
      <alignment vertical="center" wrapText="1"/>
      <protection/>
    </xf>
    <xf numFmtId="0" fontId="12" fillId="5" borderId="8" xfId="22" applyFont="1" applyFill="1" applyBorder="1" applyAlignment="1">
      <alignment vertical="center" wrapText="1"/>
      <protection/>
    </xf>
    <xf numFmtId="0" fontId="12" fillId="5" borderId="2" xfId="22" applyFont="1" applyFill="1" applyBorder="1" applyAlignment="1">
      <alignment vertical="center" wrapText="1"/>
      <protection/>
    </xf>
    <xf numFmtId="202" fontId="12" fillId="5" borderId="7" xfId="22" applyNumberFormat="1" applyFont="1" applyFill="1" applyBorder="1" applyAlignment="1">
      <alignment horizontal="center" vertical="center" wrapText="1"/>
      <protection/>
    </xf>
    <xf numFmtId="202" fontId="12" fillId="5" borderId="1" xfId="22" applyNumberFormat="1" applyFont="1" applyFill="1" applyBorder="1" applyAlignment="1">
      <alignment horizontal="center" vertical="center" wrapText="1"/>
      <protection/>
    </xf>
    <xf numFmtId="202" fontId="12" fillId="5" borderId="2" xfId="22" applyNumberFormat="1" applyFont="1" applyFill="1" applyBorder="1" applyAlignment="1">
      <alignment horizontal="center" vertical="center" wrapText="1"/>
      <protection/>
    </xf>
    <xf numFmtId="202" fontId="12" fillId="5" borderId="13" xfId="22" applyNumberFormat="1" applyFont="1" applyFill="1" applyBorder="1" applyAlignment="1">
      <alignment horizontal="center" vertical="center" wrapText="1"/>
      <protection/>
    </xf>
    <xf numFmtId="202" fontId="12" fillId="5" borderId="15" xfId="22" applyNumberFormat="1" applyFont="1" applyFill="1" applyBorder="1" applyAlignment="1">
      <alignment horizontal="center" vertical="center" wrapText="1"/>
      <protection/>
    </xf>
    <xf numFmtId="202" fontId="12" fillId="5" borderId="14" xfId="22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omma_FS" xfId="17"/>
    <cellStyle name="Currency" xfId="18"/>
    <cellStyle name="Currency [0]" xfId="19"/>
    <cellStyle name="Followed Hyperlink" xfId="20"/>
    <cellStyle name="Hyperlink" xfId="21"/>
    <cellStyle name="Normal_F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YKL\D_%20DRIVE\04%20Nov%20Qtr%20Results\Group%20Return%20Qtr-BDO%20(a)%20-%20Group(b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YKL\D_%20DRIVE\Statutory%20Reporting%20-%202nd%20Qtr%202005\tch0311av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YKL\D_%20DRIVE\Annual%20Report%20-%202004\TCH%20Consol%20awp%20May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YKL\D_%20DRIVE\04%20Nov%20Qtr%20Results\consol1104%20Asru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hecklist"/>
      <sheetName val="FX"/>
      <sheetName val="Sch 1"/>
      <sheetName val="Sch 1 - Workings"/>
      <sheetName val="Sch 1 - Plan"/>
      <sheetName val="Sch2"/>
      <sheetName val="#Sch3"/>
      <sheetName val="sch 4"/>
      <sheetName val="#sch 5"/>
      <sheetName val="sch 6"/>
      <sheetName val="sch 7"/>
      <sheetName val="sch 8"/>
      <sheetName val="sch 9&lt;1&gt;"/>
      <sheetName val="sch9&lt;2&gt;"/>
      <sheetName val="sch9&lt;3&gt;"/>
      <sheetName val="Sch10"/>
      <sheetName val="sch 11"/>
      <sheetName val="sch12"/>
      <sheetName val="sch 13"/>
      <sheetName val="Sch13&lt;2&gt;"/>
      <sheetName val="Sch 14"/>
      <sheetName val="sch 15"/>
      <sheetName val="#FA-movement"/>
      <sheetName val="FA Workings"/>
      <sheetName val="Sheet2"/>
      <sheetName val="FA Workings (2)"/>
      <sheetName val="sch 16"/>
      <sheetName val="#sch 17"/>
      <sheetName val="# sch 18"/>
      <sheetName val="sch 18&lt;3&gt;"/>
      <sheetName val="sch 19"/>
      <sheetName val="#sch 20"/>
      <sheetName val="#sch 20A"/>
      <sheetName val="sch 21"/>
      <sheetName val="Sch 22"/>
      <sheetName val="sch 23"/>
      <sheetName val="sch 24"/>
      <sheetName val="sch 25"/>
      <sheetName val="sch 26"/>
      <sheetName val="#sch 27"/>
      <sheetName val="sch 28"/>
      <sheetName val="Sch 29"/>
      <sheetName val="Sch 1 - Workings (2)"/>
      <sheetName val="Gd Will"/>
      <sheetName val="CJE bf"/>
      <sheetName val="CY JE"/>
      <sheetName val="DEcom Goodwill"/>
    </sheetNames>
    <sheetDataSet>
      <sheetData sheetId="2">
        <row r="5">
          <cell r="C5">
            <v>0.3336</v>
          </cell>
        </row>
        <row r="6">
          <cell r="C6">
            <v>0.4311</v>
          </cell>
        </row>
        <row r="7">
          <cell r="C7">
            <v>2.06</v>
          </cell>
        </row>
        <row r="9">
          <cell r="C9">
            <v>2.3981</v>
          </cell>
        </row>
        <row r="10">
          <cell r="C10">
            <v>2.1854</v>
          </cell>
        </row>
      </sheetData>
      <sheetData sheetId="3">
        <row r="2">
          <cell r="B2" t="str">
            <v>GROUP/COMPANY : TAMCO CORPORATE HOLDINGS BERHAD</v>
          </cell>
        </row>
        <row r="5">
          <cell r="B5" t="str">
            <v>FOR THE FINANCIAL PERIOD ENDED :  30 November 2004</v>
          </cell>
        </row>
        <row r="7">
          <cell r="G7" t="str">
            <v>30.11.2004</v>
          </cell>
        </row>
        <row r="9">
          <cell r="G9" t="str">
            <v>$</v>
          </cell>
        </row>
        <row r="44">
          <cell r="G44">
            <v>0</v>
          </cell>
        </row>
        <row r="59">
          <cell r="G59">
            <v>-5301692.730437174</v>
          </cell>
        </row>
        <row r="79">
          <cell r="G79">
            <v>17035132.269562826</v>
          </cell>
        </row>
      </sheetData>
      <sheetData sheetId="4">
        <row r="11">
          <cell r="AJ11">
            <v>158935313.09317267</v>
          </cell>
        </row>
        <row r="13">
          <cell r="AJ13">
            <v>-132278232.88653645</v>
          </cell>
        </row>
        <row r="18">
          <cell r="AJ18">
            <v>0</v>
          </cell>
        </row>
        <row r="19">
          <cell r="AJ19">
            <v>108793.1581016159</v>
          </cell>
        </row>
        <row r="20">
          <cell r="AJ20">
            <v>1874086.0727888811</v>
          </cell>
        </row>
        <row r="22">
          <cell r="AJ22">
            <v>-14419740.099851314</v>
          </cell>
        </row>
        <row r="23">
          <cell r="AJ23">
            <v>0</v>
          </cell>
        </row>
        <row r="24">
          <cell r="AJ24">
            <v>-2796596.3303076476</v>
          </cell>
        </row>
        <row r="25">
          <cell r="AJ25">
            <v>0</v>
          </cell>
        </row>
        <row r="26">
          <cell r="AJ26">
            <v>-1178488.0832687777</v>
          </cell>
        </row>
        <row r="27">
          <cell r="AJ27">
            <v>0</v>
          </cell>
        </row>
        <row r="28">
          <cell r="AJ28">
            <v>-657000</v>
          </cell>
        </row>
        <row r="29">
          <cell r="AJ29">
            <v>0</v>
          </cell>
        </row>
        <row r="30">
          <cell r="AJ30">
            <v>-7875755.45908733</v>
          </cell>
        </row>
        <row r="31">
          <cell r="AJ31">
            <v>0</v>
          </cell>
        </row>
        <row r="32">
          <cell r="AJ32">
            <v>-1642623.330489779</v>
          </cell>
        </row>
        <row r="36">
          <cell r="AJ36">
            <v>-3876774.273554213</v>
          </cell>
        </row>
        <row r="37">
          <cell r="AJ37">
            <v>0</v>
          </cell>
        </row>
        <row r="38">
          <cell r="AJ38">
            <v>0</v>
          </cell>
        </row>
        <row r="39">
          <cell r="AJ39">
            <v>-1883</v>
          </cell>
        </row>
        <row r="40">
          <cell r="AJ40">
            <v>0</v>
          </cell>
        </row>
        <row r="41">
          <cell r="AJ41">
            <v>0</v>
          </cell>
        </row>
        <row r="42">
          <cell r="AJ42">
            <v>0</v>
          </cell>
        </row>
        <row r="46">
          <cell r="AJ46">
            <v>-1056050.5914048308</v>
          </cell>
        </row>
        <row r="51">
          <cell r="AJ51">
            <v>-436741</v>
          </cell>
        </row>
        <row r="57">
          <cell r="AJ57">
            <v>-5301692.730437174</v>
          </cell>
        </row>
        <row r="59">
          <cell r="AJ59">
            <v>22336825</v>
          </cell>
        </row>
        <row r="73">
          <cell r="L73">
            <v>62300180</v>
          </cell>
          <cell r="Q73">
            <v>-17792317.979591835</v>
          </cell>
          <cell r="S73">
            <v>-12146946.792072775</v>
          </cell>
          <cell r="U73">
            <v>-33607095.84684685</v>
          </cell>
          <cell r="W73">
            <v>-77965.5978705979</v>
          </cell>
          <cell r="Y73">
            <v>3434284</v>
          </cell>
          <cell r="Z73">
            <v>5242759</v>
          </cell>
          <cell r="AA73">
            <v>8952215.559803264</v>
          </cell>
          <cell r="AC73">
            <v>1366635.2786431797</v>
          </cell>
          <cell r="AG73">
            <v>-369725.35250157723</v>
          </cell>
          <cell r="AJ73">
            <v>17035132.269562826</v>
          </cell>
        </row>
      </sheetData>
      <sheetData sheetId="5">
        <row r="11">
          <cell r="AL11">
            <v>201168656.8143997</v>
          </cell>
        </row>
        <row r="13">
          <cell r="AL13">
            <v>-155249311.8679511</v>
          </cell>
        </row>
        <row r="18">
          <cell r="AL18">
            <v>0</v>
          </cell>
        </row>
        <row r="19">
          <cell r="AL19">
            <v>0</v>
          </cell>
        </row>
        <row r="20">
          <cell r="AL20">
            <v>136817.05866202983</v>
          </cell>
        </row>
        <row r="21">
          <cell r="AL21">
            <v>0</v>
          </cell>
        </row>
        <row r="22">
          <cell r="AL22">
            <v>-6485746.943009795</v>
          </cell>
        </row>
        <row r="23">
          <cell r="AL23">
            <v>0</v>
          </cell>
        </row>
        <row r="24">
          <cell r="AL24">
            <v>-2816379.9589705784</v>
          </cell>
        </row>
        <row r="25">
          <cell r="AL25">
            <v>0</v>
          </cell>
        </row>
        <row r="26">
          <cell r="AL26">
            <v>-1304222.662551668</v>
          </cell>
        </row>
        <row r="27">
          <cell r="AL27">
            <v>0</v>
          </cell>
        </row>
        <row r="29">
          <cell r="AL29">
            <v>0</v>
          </cell>
        </row>
        <row r="30">
          <cell r="AL30">
            <v>-3999037.4221688583</v>
          </cell>
        </row>
        <row r="31">
          <cell r="AL31">
            <v>0</v>
          </cell>
        </row>
        <row r="32">
          <cell r="AL32">
            <v>-11359969.558099043</v>
          </cell>
        </row>
        <row r="36">
          <cell r="AL36">
            <v>-2327861.1508495687</v>
          </cell>
        </row>
        <row r="39">
          <cell r="AL39">
            <v>24000</v>
          </cell>
        </row>
        <row r="46">
          <cell r="AL46">
            <v>-4177649.4522691704</v>
          </cell>
        </row>
      </sheetData>
      <sheetData sheetId="7">
        <row r="2">
          <cell r="B2" t="str">
            <v>GROUP/COMPANY : TAMCO CORPORATE HOLDINGS BERHAD</v>
          </cell>
        </row>
        <row r="3">
          <cell r="B3" t="str">
            <v>PLEASE SPECIFY THE CURRENCY USED:  RINGGIT MALAYSIA</v>
          </cell>
        </row>
        <row r="7">
          <cell r="H7" t="str">
            <v>$</v>
          </cell>
        </row>
        <row r="17">
          <cell r="AK17">
            <v>17035132.269562818</v>
          </cell>
        </row>
      </sheetData>
      <sheetData sheetId="15">
        <row r="13">
          <cell r="J13">
            <v>5304445.443645084</v>
          </cell>
        </row>
        <row r="14">
          <cell r="J14">
            <v>745156.5762004176</v>
          </cell>
        </row>
        <row r="22">
          <cell r="J22">
            <v>10037395.900064062</v>
          </cell>
        </row>
        <row r="23">
          <cell r="J23">
            <v>3203074.951953876</v>
          </cell>
        </row>
        <row r="24">
          <cell r="J24">
            <v>3257575.1636712397</v>
          </cell>
        </row>
        <row r="25">
          <cell r="G25">
            <v>485436.8932038835</v>
          </cell>
        </row>
        <row r="31">
          <cell r="J31">
            <v>22382000</v>
          </cell>
        </row>
        <row r="32">
          <cell r="J32">
            <v>4300000</v>
          </cell>
        </row>
        <row r="33">
          <cell r="J33">
            <v>6252774</v>
          </cell>
        </row>
        <row r="34">
          <cell r="J34">
            <v>6294964.028776978</v>
          </cell>
        </row>
        <row r="35">
          <cell r="J35">
            <v>1318000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HP&amp;L"/>
      <sheetName val="ADJ"/>
      <sheetName val="TCHBS"/>
      <sheetName val="P&amp;L"/>
      <sheetName val="CF-units"/>
      <sheetName val="CashFlow"/>
      <sheetName val="CF-Working1"/>
      <sheetName val="CF-working2"/>
      <sheetName val="CF-workingTCH"/>
      <sheetName val="RE"/>
      <sheetName val="Goodwill"/>
      <sheetName val="CJE"/>
      <sheetName val="BS"/>
      <sheetName val="Exch"/>
      <sheetName val="SABS"/>
      <sheetName val="SAP&amp;L"/>
      <sheetName val="SACJE"/>
      <sheetName val="SEG"/>
      <sheetName val="Sheet1"/>
    </sheetNames>
    <sheetDataSet>
      <sheetData sheetId="7">
        <row r="4">
          <cell r="B4">
            <v>1</v>
          </cell>
          <cell r="G4">
            <v>1</v>
          </cell>
        </row>
      </sheetData>
      <sheetData sheetId="11">
        <row r="13">
          <cell r="D13">
            <v>501948</v>
          </cell>
        </row>
        <row r="17">
          <cell r="D17">
            <v>-315618</v>
          </cell>
        </row>
        <row r="21">
          <cell r="D21">
            <v>1563152</v>
          </cell>
        </row>
        <row r="22">
          <cell r="E22">
            <v>-50445</v>
          </cell>
        </row>
        <row r="23">
          <cell r="E23">
            <v>1613597</v>
          </cell>
        </row>
        <row r="26">
          <cell r="D26">
            <v>1466325</v>
          </cell>
        </row>
        <row r="27">
          <cell r="E27">
            <v>18827</v>
          </cell>
        </row>
        <row r="28">
          <cell r="E28">
            <v>234613</v>
          </cell>
        </row>
        <row r="29">
          <cell r="E29">
            <v>1212885</v>
          </cell>
        </row>
        <row r="37">
          <cell r="E37">
            <v>9864459</v>
          </cell>
        </row>
        <row r="43">
          <cell r="E43">
            <v>5918954</v>
          </cell>
        </row>
        <row r="46">
          <cell r="D46">
            <v>-113704</v>
          </cell>
        </row>
        <row r="65">
          <cell r="D65">
            <v>1968057</v>
          </cell>
        </row>
        <row r="76">
          <cell r="D76">
            <v>2001688</v>
          </cell>
        </row>
        <row r="77">
          <cell r="E77">
            <v>-34374</v>
          </cell>
        </row>
        <row r="78">
          <cell r="E78">
            <v>2036062</v>
          </cell>
        </row>
        <row r="106">
          <cell r="J106">
            <v>-7221286</v>
          </cell>
        </row>
        <row r="111">
          <cell r="D111">
            <v>657000</v>
          </cell>
        </row>
        <row r="148">
          <cell r="D148">
            <v>528554.89</v>
          </cell>
        </row>
        <row r="149">
          <cell r="E149">
            <v>-29524.109999999986</v>
          </cell>
        </row>
        <row r="150">
          <cell r="E150">
            <v>558079</v>
          </cell>
        </row>
        <row r="157">
          <cell r="D157">
            <v>90000</v>
          </cell>
        </row>
        <row r="166">
          <cell r="J166">
            <v>-7547243</v>
          </cell>
          <cell r="AB166">
            <v>8311791.186676072</v>
          </cell>
          <cell r="AC166">
            <v>-8357282.452060688</v>
          </cell>
          <cell r="AG166">
            <v>-25200</v>
          </cell>
        </row>
        <row r="168">
          <cell r="AB168" t="str">
            <v>T1</v>
          </cell>
          <cell r="AC168" t="str">
            <v>T2</v>
          </cell>
          <cell r="AG168" t="str">
            <v>T3</v>
          </cell>
        </row>
      </sheetData>
      <sheetData sheetId="13">
        <row r="6">
          <cell r="P6">
            <v>0.3937</v>
          </cell>
        </row>
        <row r="7">
          <cell r="P7">
            <v>0.4601</v>
          </cell>
        </row>
        <row r="8">
          <cell r="P8">
            <v>2.06</v>
          </cell>
        </row>
        <row r="9">
          <cell r="P9">
            <v>2.2681</v>
          </cell>
        </row>
        <row r="10">
          <cell r="P10">
            <v>2.1854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A1"/>
      <sheetName val="A3"/>
      <sheetName val="B"/>
      <sheetName val="C"/>
      <sheetName val="C1"/>
      <sheetName val="D"/>
      <sheetName val="D1"/>
      <sheetName val="D2"/>
      <sheetName val="D2l1"/>
      <sheetName val="E"/>
      <sheetName val="E1"/>
      <sheetName val="E2"/>
      <sheetName val="F1"/>
      <sheetName val="F1l1"/>
      <sheetName val="F2"/>
      <sheetName val="F2l1"/>
      <sheetName val="F3"/>
      <sheetName val="F4"/>
      <sheetName val="F5"/>
      <sheetName val="F6"/>
      <sheetName val="F7"/>
      <sheetName val="F8"/>
      <sheetName val="F8l1"/>
      <sheetName val="F9"/>
      <sheetName val="F9l1"/>
      <sheetName val="F10"/>
      <sheetName val="F11"/>
      <sheetName val="F12"/>
      <sheetName val="F12l1"/>
      <sheetName val="F13"/>
      <sheetName val="F14"/>
      <sheetName val="F14l1"/>
      <sheetName val="F15"/>
    </sheetNames>
    <sheetDataSet>
      <sheetData sheetId="3">
        <row r="46">
          <cell r="P46">
            <v>12863708.52174437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  <sheetName val="CF-Working1"/>
      <sheetName val="CF-working2"/>
      <sheetName val="CF-workingTCH"/>
      <sheetName val="Goodwill"/>
      <sheetName val="Goodwill SL"/>
      <sheetName val="Exch"/>
      <sheetName val="SABS"/>
      <sheetName val="SAP&amp;L"/>
      <sheetName val="SACJE"/>
      <sheetName val="GRP'000"/>
      <sheetName val="PL'000"/>
      <sheetName val="EPS"/>
      <sheetName val="RELATED"/>
      <sheetName val="Segmental Ind"/>
      <sheetName val="IRR"/>
      <sheetName val="borrowing"/>
      <sheetName val="FRE"/>
    </sheetNames>
    <sheetDataSet>
      <sheetData sheetId="1">
        <row r="14">
          <cell r="V14">
            <v>-3100735.355615695</v>
          </cell>
        </row>
        <row r="15">
          <cell r="V15">
            <v>131786.28543973644</v>
          </cell>
        </row>
        <row r="24">
          <cell r="V24">
            <v>23000</v>
          </cell>
        </row>
        <row r="33">
          <cell r="V33">
            <v>1399741.0697563053</v>
          </cell>
        </row>
        <row r="151">
          <cell r="V151">
            <v>17500000</v>
          </cell>
        </row>
        <row r="221">
          <cell r="O221">
            <v>153624.06257222896</v>
          </cell>
          <cell r="Q221">
            <v>-2120801.576545642</v>
          </cell>
          <cell r="T221">
            <v>-18020101.467813194</v>
          </cell>
          <cell r="X221">
            <v>-10728135.790541463</v>
          </cell>
        </row>
      </sheetData>
      <sheetData sheetId="2">
        <row r="371">
          <cell r="B371">
            <v>-791519</v>
          </cell>
          <cell r="C371">
            <v>0</v>
          </cell>
          <cell r="D371">
            <v>0</v>
          </cell>
          <cell r="E371">
            <v>-133770.13377013378</v>
          </cell>
          <cell r="F371">
            <v>0</v>
          </cell>
          <cell r="G371">
            <v>-18761.45763469707</v>
          </cell>
          <cell r="H371">
            <v>-111999</v>
          </cell>
          <cell r="I371">
            <v>0</v>
          </cell>
        </row>
        <row r="372">
          <cell r="J372">
            <v>-72236</v>
          </cell>
        </row>
        <row r="378">
          <cell r="J378">
            <v>11022</v>
          </cell>
        </row>
        <row r="384">
          <cell r="B384">
            <v>0</v>
          </cell>
          <cell r="D384">
            <v>0</v>
          </cell>
          <cell r="F384">
            <v>0</v>
          </cell>
          <cell r="G384">
            <v>0</v>
          </cell>
          <cell r="H384">
            <v>0</v>
          </cell>
        </row>
      </sheetData>
      <sheetData sheetId="3">
        <row r="128">
          <cell r="X128">
            <v>-2749551</v>
          </cell>
        </row>
        <row r="147">
          <cell r="X147">
            <v>17500000</v>
          </cell>
        </row>
        <row r="196">
          <cell r="X196">
            <v>-389004</v>
          </cell>
        </row>
        <row r="205">
          <cell r="O205">
            <v>5466619</v>
          </cell>
          <cell r="T205">
            <v>-28462517</v>
          </cell>
          <cell r="V205">
            <v>-1551778</v>
          </cell>
          <cell r="Z205">
            <v>25071349</v>
          </cell>
        </row>
      </sheetData>
      <sheetData sheetId="7">
        <row r="10">
          <cell r="U10">
            <v>59124290</v>
          </cell>
        </row>
        <row r="12">
          <cell r="S12">
            <v>0</v>
          </cell>
        </row>
        <row r="13">
          <cell r="S13">
            <v>5023933</v>
          </cell>
        </row>
        <row r="15">
          <cell r="U15">
            <v>5903176</v>
          </cell>
        </row>
        <row r="16">
          <cell r="S16">
            <v>13847762</v>
          </cell>
        </row>
        <row r="17">
          <cell r="S17">
            <v>5293504</v>
          </cell>
        </row>
        <row r="20">
          <cell r="U20">
            <v>104681057</v>
          </cell>
        </row>
        <row r="23">
          <cell r="U23">
            <v>156916658</v>
          </cell>
        </row>
        <row r="26">
          <cell r="U26">
            <v>18999920</v>
          </cell>
        </row>
        <row r="28">
          <cell r="S28">
            <v>5800</v>
          </cell>
        </row>
        <row r="29">
          <cell r="S29">
            <v>393397</v>
          </cell>
        </row>
        <row r="30">
          <cell r="S30">
            <v>0</v>
          </cell>
        </row>
        <row r="31">
          <cell r="B31">
            <v>14335513</v>
          </cell>
          <cell r="S31">
            <v>14335513</v>
          </cell>
        </row>
        <row r="32">
          <cell r="B32">
            <v>549605</v>
          </cell>
          <cell r="S32">
            <v>6789280</v>
          </cell>
        </row>
        <row r="36">
          <cell r="S36">
            <v>-80493877</v>
          </cell>
        </row>
        <row r="38">
          <cell r="U38">
            <v>-97524157</v>
          </cell>
        </row>
        <row r="40">
          <cell r="S40">
            <v>-816978</v>
          </cell>
        </row>
        <row r="41">
          <cell r="S41">
            <v>-214202</v>
          </cell>
        </row>
        <row r="42">
          <cell r="S42">
            <v>-759896</v>
          </cell>
        </row>
        <row r="43">
          <cell r="S43">
            <v>-940105</v>
          </cell>
        </row>
        <row r="44">
          <cell r="S44">
            <v>0</v>
          </cell>
        </row>
        <row r="46">
          <cell r="B46">
            <v>0</v>
          </cell>
          <cell r="S46">
            <v>-6049602</v>
          </cell>
        </row>
        <row r="47">
          <cell r="U47">
            <v>-63580823</v>
          </cell>
        </row>
        <row r="55">
          <cell r="S55">
            <v>-129743860</v>
          </cell>
        </row>
        <row r="58">
          <cell r="U58">
            <v>-16380022</v>
          </cell>
        </row>
        <row r="63">
          <cell r="S63">
            <v>3451529</v>
          </cell>
        </row>
        <row r="69">
          <cell r="S69">
            <v>-3696590</v>
          </cell>
        </row>
        <row r="70">
          <cell r="S70">
            <v>-113364</v>
          </cell>
        </row>
        <row r="71">
          <cell r="S71">
            <v>-625917</v>
          </cell>
        </row>
        <row r="72">
          <cell r="S72">
            <v>-369904</v>
          </cell>
        </row>
        <row r="73">
          <cell r="S73">
            <v>-80000000</v>
          </cell>
        </row>
      </sheetData>
      <sheetData sheetId="8">
        <row r="10">
          <cell r="P10">
            <v>158929915</v>
          </cell>
        </row>
        <row r="12">
          <cell r="P12">
            <v>-115901957</v>
          </cell>
        </row>
        <row r="18">
          <cell r="P18">
            <v>-17809399</v>
          </cell>
        </row>
        <row r="19">
          <cell r="P19">
            <v>-12932999</v>
          </cell>
        </row>
        <row r="20">
          <cell r="P20">
            <v>-8416328</v>
          </cell>
        </row>
        <row r="21">
          <cell r="P21">
            <v>-2186962</v>
          </cell>
        </row>
        <row r="22">
          <cell r="P22">
            <v>-3504778</v>
          </cell>
        </row>
        <row r="27">
          <cell r="P27">
            <v>-1883</v>
          </cell>
        </row>
        <row r="28">
          <cell r="P28">
            <v>536042</v>
          </cell>
        </row>
        <row r="36">
          <cell r="B36">
            <v>139874</v>
          </cell>
          <cell r="P36">
            <v>139879</v>
          </cell>
        </row>
        <row r="37">
          <cell r="B37">
            <v>124491</v>
          </cell>
          <cell r="P37">
            <v>1311</v>
          </cell>
        </row>
        <row r="38">
          <cell r="B38">
            <v>-2981214</v>
          </cell>
          <cell r="P38">
            <v>-3753594</v>
          </cell>
        </row>
        <row r="40">
          <cell r="B40">
            <v>2672726</v>
          </cell>
          <cell r="P40">
            <v>-4900753</v>
          </cell>
        </row>
        <row r="42">
          <cell r="P42">
            <v>-1056050</v>
          </cell>
        </row>
      </sheetData>
      <sheetData sheetId="10">
        <row r="124">
          <cell r="I124">
            <v>2673</v>
          </cell>
        </row>
      </sheetData>
      <sheetData sheetId="14">
        <row r="11">
          <cell r="K11">
            <v>129337843</v>
          </cell>
          <cell r="P11">
            <v>29592071</v>
          </cell>
        </row>
        <row r="12">
          <cell r="K12">
            <v>20428786</v>
          </cell>
          <cell r="P12">
            <v>607011</v>
          </cell>
          <cell r="R12">
            <v>-21035796</v>
          </cell>
        </row>
        <row r="22">
          <cell r="R22">
            <v>-201198</v>
          </cell>
        </row>
        <row r="23">
          <cell r="K23">
            <v>-294445</v>
          </cell>
          <cell r="P23">
            <v>-133823</v>
          </cell>
        </row>
        <row r="24">
          <cell r="T24">
            <v>-657000</v>
          </cell>
        </row>
        <row r="25">
          <cell r="T25">
            <v>139879</v>
          </cell>
        </row>
        <row r="26">
          <cell r="T26">
            <v>-3753594</v>
          </cell>
        </row>
        <row r="27">
          <cell r="T27">
            <v>-1883</v>
          </cell>
        </row>
        <row r="29">
          <cell r="T29">
            <v>-1056050</v>
          </cell>
        </row>
      </sheetData>
      <sheetData sheetId="16">
        <row r="10">
          <cell r="K10">
            <v>6294964.028776978</v>
          </cell>
        </row>
        <row r="15">
          <cell r="K15">
            <v>5304445</v>
          </cell>
        </row>
        <row r="24">
          <cell r="K24">
            <v>80000000</v>
          </cell>
        </row>
        <row r="27">
          <cell r="K27">
            <v>272130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1"/>
  <sheetViews>
    <sheetView showGridLines="0" tabSelected="1" workbookViewId="0" topLeftCell="A1">
      <selection activeCell="G26" sqref="G26"/>
    </sheetView>
  </sheetViews>
  <sheetFormatPr defaultColWidth="8.88671875" defaultRowHeight="15"/>
  <cols>
    <col min="1" max="1" width="8.88671875" style="2" customWidth="1"/>
    <col min="2" max="2" width="29.6640625" style="2" customWidth="1"/>
    <col min="3" max="3" width="8.21484375" style="2" customWidth="1"/>
    <col min="4" max="5" width="9.88671875" style="2" customWidth="1"/>
    <col min="6" max="6" width="2.5546875" style="2" customWidth="1"/>
    <col min="7" max="8" width="9.88671875" style="2" customWidth="1"/>
    <col min="9" max="9" width="2.5546875" style="2" customWidth="1"/>
    <col min="10" max="10" width="3.3359375" style="2" customWidth="1"/>
    <col min="11" max="11" width="2.99609375" style="2" customWidth="1"/>
    <col min="12" max="12" width="4.10546875" style="2" customWidth="1"/>
    <col min="13" max="13" width="3.21484375" style="2" customWidth="1"/>
    <col min="14" max="15" width="0" style="2" hidden="1" customWidth="1"/>
    <col min="16" max="16" width="3.88671875" style="2" hidden="1" customWidth="1"/>
    <col min="17" max="18" width="0" style="2" hidden="1" customWidth="1"/>
    <col min="19" max="19" width="5.3359375" style="2" hidden="1" customWidth="1"/>
    <col min="20" max="21" width="0" style="2" hidden="1" customWidth="1"/>
    <col min="22" max="22" width="5.10546875" style="2" hidden="1" customWidth="1"/>
    <col min="23" max="24" width="0" style="2" hidden="1" customWidth="1"/>
    <col min="25" max="25" width="5.4453125" style="2" hidden="1" customWidth="1"/>
    <col min="26" max="30" width="0" style="2" hidden="1" customWidth="1"/>
    <col min="31" max="16384" width="8.88671875" style="2" customWidth="1"/>
  </cols>
  <sheetData>
    <row r="1" spans="1:13" ht="10.5" customHeight="1">
      <c r="A1" s="1"/>
      <c r="B1" s="59"/>
      <c r="C1" s="60"/>
      <c r="D1" s="59"/>
      <c r="E1" s="59"/>
      <c r="F1" s="59"/>
      <c r="G1" s="59"/>
      <c r="H1" s="59"/>
      <c r="I1" s="1"/>
      <c r="J1" s="1"/>
      <c r="K1" s="1"/>
      <c r="L1" s="1"/>
      <c r="M1" s="1"/>
    </row>
    <row r="2" spans="1:13" ht="15.75">
      <c r="A2" s="1"/>
      <c r="B2" s="562" t="s">
        <v>87</v>
      </c>
      <c r="C2" s="562"/>
      <c r="D2" s="562"/>
      <c r="E2" s="562"/>
      <c r="F2" s="562"/>
      <c r="G2" s="562"/>
      <c r="H2" s="562"/>
      <c r="I2" s="9"/>
      <c r="J2" s="1"/>
      <c r="K2" s="1"/>
      <c r="L2" s="1"/>
      <c r="M2" s="1"/>
    </row>
    <row r="3" spans="1:13" ht="15">
      <c r="A3" s="1"/>
      <c r="B3" s="565" t="s">
        <v>8</v>
      </c>
      <c r="C3" s="566"/>
      <c r="D3" s="566"/>
      <c r="E3" s="566"/>
      <c r="F3" s="566"/>
      <c r="G3" s="566"/>
      <c r="H3" s="566"/>
      <c r="I3" s="566"/>
      <c r="J3" s="1"/>
      <c r="K3" s="1"/>
      <c r="L3" s="1"/>
      <c r="M3" s="1"/>
    </row>
    <row r="4" spans="1:13" ht="13.5" customHeight="1">
      <c r="A4" s="1"/>
      <c r="B4" s="560" t="s">
        <v>92</v>
      </c>
      <c r="C4" s="560"/>
      <c r="D4" s="560"/>
      <c r="E4" s="560"/>
      <c r="F4" s="560"/>
      <c r="G4" s="560"/>
      <c r="H4" s="560"/>
      <c r="I4" s="561"/>
      <c r="J4" s="1"/>
      <c r="K4" s="1"/>
      <c r="L4" s="1"/>
      <c r="M4" s="1"/>
    </row>
    <row r="5" spans="1:13" ht="6.75" customHeight="1">
      <c r="A5" s="1"/>
      <c r="B5" s="19"/>
      <c r="C5" s="19"/>
      <c r="D5" s="19"/>
      <c r="E5" s="19"/>
      <c r="F5" s="19"/>
      <c r="G5" s="19"/>
      <c r="H5" s="19"/>
      <c r="I5" s="118"/>
      <c r="J5" s="1"/>
      <c r="K5" s="1"/>
      <c r="L5" s="1"/>
      <c r="M5" s="1"/>
    </row>
    <row r="6" spans="1:13" ht="15.75">
      <c r="A6" s="1"/>
      <c r="B6" s="563" t="s">
        <v>10</v>
      </c>
      <c r="C6" s="563"/>
      <c r="D6" s="563"/>
      <c r="E6" s="563"/>
      <c r="F6" s="563"/>
      <c r="G6" s="563"/>
      <c r="H6" s="563"/>
      <c r="I6" s="118"/>
      <c r="J6" s="1"/>
      <c r="K6" s="1"/>
      <c r="L6" s="1"/>
      <c r="M6" s="1"/>
    </row>
    <row r="7" spans="1:13" ht="15">
      <c r="A7" s="1"/>
      <c r="B7" s="558" t="s">
        <v>270</v>
      </c>
      <c r="C7" s="564"/>
      <c r="D7" s="564"/>
      <c r="E7" s="564"/>
      <c r="F7" s="564"/>
      <c r="G7" s="564"/>
      <c r="H7" s="564"/>
      <c r="I7" s="118"/>
      <c r="J7" s="1"/>
      <c r="K7" s="1"/>
      <c r="L7" s="1"/>
      <c r="M7" s="1"/>
    </row>
    <row r="8" spans="1:13" ht="15.75">
      <c r="A8" s="1"/>
      <c r="B8" s="558" t="s">
        <v>59</v>
      </c>
      <c r="C8" s="559"/>
      <c r="D8" s="559"/>
      <c r="E8" s="559"/>
      <c r="F8" s="559"/>
      <c r="G8" s="559"/>
      <c r="H8" s="559"/>
      <c r="I8" s="118"/>
      <c r="J8" s="1"/>
      <c r="K8" s="1"/>
      <c r="L8" s="1"/>
      <c r="M8" s="1"/>
    </row>
    <row r="9" spans="1:13" ht="15">
      <c r="A9" s="1"/>
      <c r="B9" s="21"/>
      <c r="C9" s="21"/>
      <c r="D9" s="21"/>
      <c r="E9" s="21"/>
      <c r="F9" s="21"/>
      <c r="G9" s="21"/>
      <c r="H9" s="21"/>
      <c r="I9" s="118"/>
      <c r="J9" s="1"/>
      <c r="K9" s="1"/>
      <c r="L9" s="1"/>
      <c r="M9" s="1"/>
    </row>
    <row r="10" spans="1:15" ht="15">
      <c r="A10" s="1"/>
      <c r="B10" s="5"/>
      <c r="C10" s="5"/>
      <c r="D10" s="567" t="s">
        <v>66</v>
      </c>
      <c r="E10" s="568"/>
      <c r="F10" s="5"/>
      <c r="G10" s="567" t="s">
        <v>32</v>
      </c>
      <c r="H10" s="568"/>
      <c r="I10" s="119"/>
      <c r="J10" s="1"/>
      <c r="K10" s="1"/>
      <c r="L10" s="1"/>
      <c r="M10" s="1"/>
      <c r="N10" s="567" t="s">
        <v>66</v>
      </c>
      <c r="O10" s="568"/>
    </row>
    <row r="11" spans="1:27" ht="15">
      <c r="A11" s="1"/>
      <c r="B11" s="5"/>
      <c r="C11" s="5"/>
      <c r="D11" s="25" t="s">
        <v>269</v>
      </c>
      <c r="E11" s="25" t="s">
        <v>268</v>
      </c>
      <c r="F11" s="24"/>
      <c r="G11" s="25" t="s">
        <v>269</v>
      </c>
      <c r="H11" s="25" t="s">
        <v>268</v>
      </c>
      <c r="I11" s="119"/>
      <c r="J11" s="1"/>
      <c r="K11" s="1"/>
      <c r="L11" s="1"/>
      <c r="M11" s="1"/>
      <c r="N11" s="24" t="s">
        <v>99</v>
      </c>
      <c r="O11" s="24" t="s">
        <v>100</v>
      </c>
      <c r="Q11" s="24" t="s">
        <v>103</v>
      </c>
      <c r="R11" s="24" t="s">
        <v>107</v>
      </c>
      <c r="T11" s="24" t="s">
        <v>104</v>
      </c>
      <c r="U11" s="24" t="s">
        <v>106</v>
      </c>
      <c r="W11" s="24" t="s">
        <v>105</v>
      </c>
      <c r="X11" s="24" t="s">
        <v>108</v>
      </c>
      <c r="Z11" s="25" t="s">
        <v>109</v>
      </c>
      <c r="AA11" s="25" t="s">
        <v>109</v>
      </c>
    </row>
    <row r="12" spans="1:27" ht="15">
      <c r="A12" s="1"/>
      <c r="B12" s="5"/>
      <c r="C12" s="5"/>
      <c r="D12" s="25" t="s">
        <v>33</v>
      </c>
      <c r="E12" s="25" t="s">
        <v>33</v>
      </c>
      <c r="F12" s="25"/>
      <c r="G12" s="25" t="s">
        <v>33</v>
      </c>
      <c r="H12" s="25" t="s">
        <v>33</v>
      </c>
      <c r="I12" s="119"/>
      <c r="J12" s="1"/>
      <c r="K12" s="1"/>
      <c r="L12" s="1"/>
      <c r="M12" s="1"/>
      <c r="N12" s="25" t="s">
        <v>33</v>
      </c>
      <c r="O12" s="25" t="s">
        <v>33</v>
      </c>
      <c r="Q12" s="25" t="s">
        <v>33</v>
      </c>
      <c r="R12" s="25" t="s">
        <v>33</v>
      </c>
      <c r="T12" s="25" t="s">
        <v>33</v>
      </c>
      <c r="U12" s="25" t="s">
        <v>33</v>
      </c>
      <c r="W12" s="25" t="s">
        <v>33</v>
      </c>
      <c r="X12" s="25" t="s">
        <v>33</v>
      </c>
      <c r="Z12" s="25" t="s">
        <v>33</v>
      </c>
      <c r="AA12" s="25" t="s">
        <v>33</v>
      </c>
    </row>
    <row r="13" spans="1:13" ht="15">
      <c r="A13" s="1"/>
      <c r="B13" s="5"/>
      <c r="C13" s="5"/>
      <c r="D13" s="25"/>
      <c r="E13" s="25"/>
      <c r="F13" s="25"/>
      <c r="G13" s="25"/>
      <c r="H13" s="25"/>
      <c r="I13" s="119"/>
      <c r="J13" s="1"/>
      <c r="K13" s="1"/>
      <c r="L13" s="1"/>
      <c r="M13" s="1"/>
    </row>
    <row r="14" spans="1:27" ht="15">
      <c r="A14" s="1"/>
      <c r="B14" s="26" t="s">
        <v>11</v>
      </c>
      <c r="C14" s="19"/>
      <c r="D14" s="27">
        <f>+G14-N14</f>
        <v>83598</v>
      </c>
      <c r="E14" s="27">
        <f>+H14-O14</f>
        <v>54926</v>
      </c>
      <c r="F14" s="27"/>
      <c r="G14" s="27">
        <f>+Workings!D10</f>
        <v>162296</v>
      </c>
      <c r="H14" s="27">
        <f>+Workings!E10</f>
        <v>110532</v>
      </c>
      <c r="I14" s="120"/>
      <c r="J14" s="1"/>
      <c r="K14" s="1"/>
      <c r="L14" s="1"/>
      <c r="M14" s="1"/>
      <c r="N14" s="27">
        <v>78698</v>
      </c>
      <c r="O14" s="27">
        <v>55606</v>
      </c>
      <c r="Z14" s="2">
        <f>N14+Q14+T14+W14</f>
        <v>78698</v>
      </c>
      <c r="AA14" s="2">
        <f>O14+R14+U14+X14</f>
        <v>55606</v>
      </c>
    </row>
    <row r="15" spans="1:15" ht="15">
      <c r="A15" s="1"/>
      <c r="B15" s="26"/>
      <c r="C15" s="19"/>
      <c r="D15" s="16"/>
      <c r="E15" s="16"/>
      <c r="F15" s="16"/>
      <c r="G15" s="16"/>
      <c r="H15" s="16"/>
      <c r="I15" s="120"/>
      <c r="J15" s="1"/>
      <c r="K15" s="1"/>
      <c r="L15" s="1"/>
      <c r="M15" s="1"/>
      <c r="N15" s="16"/>
      <c r="O15" s="16"/>
    </row>
    <row r="16" spans="1:27" ht="15">
      <c r="A16" s="1"/>
      <c r="B16" s="26" t="s">
        <v>63</v>
      </c>
      <c r="C16" s="19"/>
      <c r="D16" s="57">
        <f>+G16-N16</f>
        <v>-70103</v>
      </c>
      <c r="E16" s="57">
        <f>+H16-O16</f>
        <v>-43644</v>
      </c>
      <c r="F16" s="29"/>
      <c r="G16" s="17">
        <f>+Workings!D12</f>
        <v>-131477</v>
      </c>
      <c r="H16" s="17">
        <f>+Workings!E12</f>
        <v>-87390</v>
      </c>
      <c r="I16" s="121"/>
      <c r="J16" s="1"/>
      <c r="K16" s="1"/>
      <c r="L16" s="1"/>
      <c r="M16" s="1"/>
      <c r="N16" s="17">
        <v>-61374</v>
      </c>
      <c r="O16" s="17">
        <f>-37357-6389</f>
        <v>-43746</v>
      </c>
      <c r="Q16" s="127"/>
      <c r="R16" s="127"/>
      <c r="T16" s="127"/>
      <c r="U16" s="127"/>
      <c r="W16" s="127"/>
      <c r="X16" s="127"/>
      <c r="Z16" s="127">
        <f>N16+Q16+T16+W16</f>
        <v>-61374</v>
      </c>
      <c r="AA16" s="127">
        <f>O16+R16+U16+X16</f>
        <v>-43746</v>
      </c>
    </row>
    <row r="17" spans="1:24" ht="15">
      <c r="A17" s="1"/>
      <c r="B17" s="26"/>
      <c r="C17" s="19"/>
      <c r="D17" s="29"/>
      <c r="E17" s="29"/>
      <c r="F17" s="29"/>
      <c r="G17" s="29"/>
      <c r="H17" s="29"/>
      <c r="I17" s="121"/>
      <c r="J17" s="1"/>
      <c r="K17" s="1"/>
      <c r="L17" s="1"/>
      <c r="M17" s="1"/>
      <c r="N17" s="29"/>
      <c r="O17" s="29"/>
      <c r="Q17" s="29"/>
      <c r="R17" s="29"/>
      <c r="T17" s="29"/>
      <c r="U17" s="29"/>
      <c r="W17" s="29"/>
      <c r="X17" s="29"/>
    </row>
    <row r="18" spans="1:27" ht="15">
      <c r="A18" s="1"/>
      <c r="B18" s="30" t="s">
        <v>64</v>
      </c>
      <c r="C18" s="31"/>
      <c r="D18" s="29">
        <f>SUM(D14:D16)</f>
        <v>13495</v>
      </c>
      <c r="E18" s="29">
        <f>SUM(E14:E16)</f>
        <v>11282</v>
      </c>
      <c r="F18" s="29"/>
      <c r="G18" s="29">
        <f>SUM(G14:G16)</f>
        <v>30819</v>
      </c>
      <c r="H18" s="29">
        <f>SUM(H14:H16)</f>
        <v>23142</v>
      </c>
      <c r="I18" s="121"/>
      <c r="J18" s="1"/>
      <c r="K18" s="1"/>
      <c r="L18" s="1"/>
      <c r="M18" s="1"/>
      <c r="N18" s="29">
        <f>SUM(N14:N16)</f>
        <v>17324</v>
      </c>
      <c r="O18" s="29">
        <f>SUM(O14:O16)</f>
        <v>11860</v>
      </c>
      <c r="Q18" s="29">
        <f>SUM(Q14:Q16)</f>
        <v>0</v>
      </c>
      <c r="R18" s="29">
        <f>SUM(R14:R16)</f>
        <v>0</v>
      </c>
      <c r="T18" s="29">
        <f>SUM(T14:T16)</f>
        <v>0</v>
      </c>
      <c r="U18" s="29">
        <f>SUM(U14:U16)</f>
        <v>0</v>
      </c>
      <c r="W18" s="29">
        <f>SUM(W14:W16)</f>
        <v>0</v>
      </c>
      <c r="X18" s="29">
        <f>SUM(X14:X16)</f>
        <v>0</v>
      </c>
      <c r="Z18" s="2">
        <f>SUM(Z14:Z16)</f>
        <v>17324</v>
      </c>
      <c r="AA18" s="2">
        <f>SUM(AA14:AA16)</f>
        <v>11860</v>
      </c>
    </row>
    <row r="19" spans="1:15" ht="15">
      <c r="A19" s="1"/>
      <c r="B19" s="30"/>
      <c r="C19" s="31"/>
      <c r="D19" s="29"/>
      <c r="E19" s="29"/>
      <c r="F19" s="29"/>
      <c r="G19" s="29"/>
      <c r="H19" s="29"/>
      <c r="I19" s="121"/>
      <c r="J19" s="1"/>
      <c r="K19" s="1"/>
      <c r="L19" s="1"/>
      <c r="M19" s="1"/>
      <c r="N19" s="29"/>
      <c r="O19" s="29"/>
    </row>
    <row r="20" spans="1:27" ht="15">
      <c r="A20" s="1"/>
      <c r="B20" s="26" t="s">
        <v>12</v>
      </c>
      <c r="C20" s="31"/>
      <c r="D20" s="27">
        <f>+G20-N20</f>
        <v>378</v>
      </c>
      <c r="E20" s="27">
        <f>+H20-O20</f>
        <v>-807</v>
      </c>
      <c r="F20" s="29"/>
      <c r="G20" s="14">
        <f>+Workings!D16</f>
        <v>536</v>
      </c>
      <c r="H20" s="14">
        <f>+Workings!E16</f>
        <v>393</v>
      </c>
      <c r="I20" s="121"/>
      <c r="J20" s="1"/>
      <c r="K20" s="1"/>
      <c r="L20" s="1"/>
      <c r="M20" s="1"/>
      <c r="N20" s="14">
        <v>158</v>
      </c>
      <c r="O20" s="29">
        <v>1200</v>
      </c>
      <c r="Z20" s="2">
        <f>N20+Q20+T20+W20</f>
        <v>158</v>
      </c>
      <c r="AA20" s="2">
        <f>O20+R20+U20+X20</f>
        <v>1200</v>
      </c>
    </row>
    <row r="21" spans="1:15" ht="15">
      <c r="A21" s="1"/>
      <c r="B21" s="30"/>
      <c r="C21" s="31"/>
      <c r="D21" s="29"/>
      <c r="E21" s="29"/>
      <c r="F21" s="29"/>
      <c r="G21" s="29"/>
      <c r="H21" s="29"/>
      <c r="I21" s="121"/>
      <c r="J21" s="1"/>
      <c r="K21" s="1"/>
      <c r="L21" s="1"/>
      <c r="M21" s="1"/>
      <c r="N21" s="29"/>
      <c r="O21" s="29"/>
    </row>
    <row r="22" spans="1:27" ht="15">
      <c r="A22" s="1"/>
      <c r="B22" s="30" t="s">
        <v>26</v>
      </c>
      <c r="C22" s="31"/>
      <c r="D22" s="27">
        <f>+G22-N22</f>
        <v>-8394</v>
      </c>
      <c r="E22" s="27">
        <f>+H22-O22</f>
        <v>-5596</v>
      </c>
      <c r="F22" s="29"/>
      <c r="G22" s="29">
        <f>+Workings!D18</f>
        <v>-15120</v>
      </c>
      <c r="H22" s="29">
        <f>+Workings!E18</f>
        <v>-10818</v>
      </c>
      <c r="I22" s="121"/>
      <c r="J22" s="1"/>
      <c r="K22" s="1"/>
      <c r="L22" s="1"/>
      <c r="M22" s="1"/>
      <c r="N22" s="29">
        <v>-6726</v>
      </c>
      <c r="O22" s="29">
        <f>-4359-863</f>
        <v>-5222</v>
      </c>
      <c r="Z22" s="2">
        <f>N22+Q22+T22+W22</f>
        <v>-6726</v>
      </c>
      <c r="AA22" s="2">
        <f>O22+R22+U22+X22</f>
        <v>-5222</v>
      </c>
    </row>
    <row r="23" spans="1:15" ht="15">
      <c r="A23" s="1"/>
      <c r="B23" s="30"/>
      <c r="C23" s="31"/>
      <c r="D23" s="29"/>
      <c r="E23" s="29"/>
      <c r="F23" s="29"/>
      <c r="G23" s="29"/>
      <c r="H23" s="29"/>
      <c r="I23" s="121"/>
      <c r="J23" s="1"/>
      <c r="K23" s="1"/>
      <c r="L23" s="1"/>
      <c r="M23" s="1"/>
      <c r="N23" s="29"/>
      <c r="O23" s="29"/>
    </row>
    <row r="24" spans="1:27" ht="15">
      <c r="A24" s="1"/>
      <c r="B24" s="30" t="s">
        <v>27</v>
      </c>
      <c r="C24" s="31"/>
      <c r="D24" s="27">
        <f>+G24-N24</f>
        <v>-4226</v>
      </c>
      <c r="E24" s="27">
        <f>+H24-O24</f>
        <v>-3522</v>
      </c>
      <c r="F24" s="29"/>
      <c r="G24" s="29">
        <f>+Workings!D20</f>
        <v>-8416</v>
      </c>
      <c r="H24" s="29">
        <f>+Workings!E20</f>
        <v>-7139</v>
      </c>
      <c r="I24" s="121"/>
      <c r="J24" s="1"/>
      <c r="K24" s="1"/>
      <c r="L24" s="1"/>
      <c r="M24" s="1"/>
      <c r="N24" s="29">
        <v>-4190</v>
      </c>
      <c r="O24" s="29">
        <v>-3617</v>
      </c>
      <c r="Z24" s="2">
        <f>N24+Q24+T24+W24</f>
        <v>-4190</v>
      </c>
      <c r="AA24" s="2">
        <f>O24+R24+U24+X24</f>
        <v>-3617</v>
      </c>
    </row>
    <row r="25" spans="1:15" ht="15">
      <c r="A25" s="1"/>
      <c r="B25" s="30"/>
      <c r="C25" s="31"/>
      <c r="D25" s="29"/>
      <c r="E25" s="29"/>
      <c r="F25" s="29"/>
      <c r="G25" s="29"/>
      <c r="H25" s="29"/>
      <c r="I25" s="121"/>
      <c r="J25" s="1"/>
      <c r="K25" s="1"/>
      <c r="L25" s="1"/>
      <c r="M25" s="1"/>
      <c r="N25" s="29"/>
      <c r="O25" s="29"/>
    </row>
    <row r="26" spans="1:27" ht="15">
      <c r="A26" s="1"/>
      <c r="B26" s="30" t="s">
        <v>28</v>
      </c>
      <c r="C26" s="31"/>
      <c r="D26" s="57">
        <f>+G26-N26</f>
        <v>-7885</v>
      </c>
      <c r="E26" s="57">
        <f>+H26-O26</f>
        <v>-392</v>
      </c>
      <c r="F26" s="29"/>
      <c r="G26" s="17">
        <f>+Workings!D22</f>
        <v>-9105</v>
      </c>
      <c r="H26" s="17">
        <f>+Workings!E22</f>
        <v>-1746</v>
      </c>
      <c r="I26" s="121"/>
      <c r="J26" s="1"/>
      <c r="K26" s="1"/>
      <c r="L26" s="1"/>
      <c r="M26" s="1"/>
      <c r="N26" s="17">
        <v>-1220</v>
      </c>
      <c r="O26" s="17">
        <v>-1354</v>
      </c>
      <c r="Q26" s="127"/>
      <c r="R26" s="127"/>
      <c r="T26" s="127"/>
      <c r="U26" s="127"/>
      <c r="W26" s="127"/>
      <c r="X26" s="127"/>
      <c r="Z26" s="127">
        <f>N26+Q26+T26+W26</f>
        <v>-1220</v>
      </c>
      <c r="AA26" s="127">
        <f>O26+R26+U26+X26</f>
        <v>-1354</v>
      </c>
    </row>
    <row r="27" spans="1:15" ht="15">
      <c r="A27" s="1"/>
      <c r="B27" s="32"/>
      <c r="C27" s="21"/>
      <c r="D27" s="29"/>
      <c r="E27" s="29"/>
      <c r="F27" s="29"/>
      <c r="G27" s="29"/>
      <c r="H27" s="29"/>
      <c r="I27" s="121"/>
      <c r="J27" s="1"/>
      <c r="K27" s="1"/>
      <c r="L27" s="1"/>
      <c r="M27" s="1"/>
      <c r="N27" s="29"/>
      <c r="O27" s="29"/>
    </row>
    <row r="28" spans="1:27" ht="15">
      <c r="A28" s="1"/>
      <c r="B28" s="4" t="s">
        <v>566</v>
      </c>
      <c r="C28" s="19"/>
      <c r="D28" s="29">
        <f>SUM(D18:D26)</f>
        <v>-6632</v>
      </c>
      <c r="E28" s="29">
        <f>SUM(E18:E26)</f>
        <v>965</v>
      </c>
      <c r="F28" s="29"/>
      <c r="G28" s="29">
        <f>SUM(G18:G26)</f>
        <v>-1286</v>
      </c>
      <c r="H28" s="29">
        <f>SUM(H18:H26)</f>
        <v>3832</v>
      </c>
      <c r="I28" s="121"/>
      <c r="J28" s="1"/>
      <c r="K28" s="1"/>
      <c r="L28" s="1"/>
      <c r="M28" s="1"/>
      <c r="N28" s="29">
        <f>SUM(N18:N26)</f>
        <v>5346</v>
      </c>
      <c r="O28" s="29">
        <f>SUM(O18:O26)</f>
        <v>2867</v>
      </c>
      <c r="Q28" s="29">
        <f>SUM(Q18:Q26)</f>
        <v>0</v>
      </c>
      <c r="R28" s="29">
        <f>SUM(R18:R26)</f>
        <v>0</v>
      </c>
      <c r="T28" s="29">
        <f>SUM(T18:T26)</f>
        <v>0</v>
      </c>
      <c r="U28" s="29">
        <f>SUM(U18:U26)</f>
        <v>0</v>
      </c>
      <c r="W28" s="29">
        <f>SUM(W18:W26)</f>
        <v>0</v>
      </c>
      <c r="X28" s="29">
        <f>SUM(X18:X26)</f>
        <v>0</v>
      </c>
      <c r="Z28" s="2">
        <f>SUM(Z18:Z26)</f>
        <v>5346</v>
      </c>
      <c r="AA28" s="2">
        <f>SUM(AA18:AA26)</f>
        <v>2867</v>
      </c>
    </row>
    <row r="29" spans="1:24" ht="15">
      <c r="A29" s="1"/>
      <c r="B29" s="4"/>
      <c r="C29" s="19"/>
      <c r="D29" s="29"/>
      <c r="E29" s="29"/>
      <c r="F29" s="29"/>
      <c r="G29" s="29"/>
      <c r="H29" s="29"/>
      <c r="I29" s="121"/>
      <c r="J29" s="1"/>
      <c r="K29" s="1"/>
      <c r="L29" s="1"/>
      <c r="M29" s="1"/>
      <c r="N29" s="29"/>
      <c r="O29" s="29"/>
      <c r="Q29" s="29"/>
      <c r="R29" s="29"/>
      <c r="T29" s="29"/>
      <c r="U29" s="29"/>
      <c r="W29" s="29"/>
      <c r="X29" s="29"/>
    </row>
    <row r="30" spans="1:27" ht="15">
      <c r="A30" s="1"/>
      <c r="B30" s="4" t="s">
        <v>60</v>
      </c>
      <c r="C30" s="19"/>
      <c r="D30" s="27">
        <f>SUM(D31:D32)</f>
        <v>-1825</v>
      </c>
      <c r="E30" s="27">
        <f>SUM(E31:E32)</f>
        <v>-1195</v>
      </c>
      <c r="F30" s="27"/>
      <c r="G30" s="27">
        <f>SUM(G31:G32)</f>
        <v>-3612</v>
      </c>
      <c r="H30" s="27">
        <f>SUM(H31:H32)</f>
        <v>-2233</v>
      </c>
      <c r="I30" s="121"/>
      <c r="J30" s="1"/>
      <c r="K30" s="1"/>
      <c r="L30" s="1"/>
      <c r="M30" s="1"/>
      <c r="N30" s="27">
        <f>SUM(N31:N32)</f>
        <v>-1787</v>
      </c>
      <c r="O30" s="27">
        <f>SUM(O31:O32)</f>
        <v>-1038</v>
      </c>
      <c r="Q30" s="27">
        <f>SUM(Q31:Q32)</f>
        <v>0</v>
      </c>
      <c r="R30" s="27">
        <f>SUM(R31:R32)</f>
        <v>0</v>
      </c>
      <c r="T30" s="27">
        <f>SUM(T31:T32)</f>
        <v>0</v>
      </c>
      <c r="U30" s="27">
        <f>SUM(U31:U32)</f>
        <v>0</v>
      </c>
      <c r="W30" s="27">
        <f>SUM(W31:W32)</f>
        <v>0</v>
      </c>
      <c r="X30" s="27">
        <f>SUM(X31:X32)</f>
        <v>0</v>
      </c>
      <c r="Z30" s="2">
        <f>SUM(Z31:Z32)</f>
        <v>-1787</v>
      </c>
      <c r="AA30" s="2">
        <f>SUM(AA31:AA32)</f>
        <v>-1038</v>
      </c>
    </row>
    <row r="31" spans="1:27" ht="15">
      <c r="A31" s="1"/>
      <c r="B31" s="4" t="s">
        <v>20</v>
      </c>
      <c r="C31" s="19"/>
      <c r="D31" s="54">
        <f>+G31-N31</f>
        <v>54</v>
      </c>
      <c r="E31" s="55">
        <f>+H31-O31</f>
        <v>81</v>
      </c>
      <c r="F31" s="27"/>
      <c r="G31" s="54">
        <f>+Workings!D26</f>
        <v>140</v>
      </c>
      <c r="H31" s="54">
        <f>+Workings!E26</f>
        <v>144</v>
      </c>
      <c r="I31" s="132"/>
      <c r="J31" s="1"/>
      <c r="K31" s="1"/>
      <c r="L31" s="1"/>
      <c r="M31" s="1"/>
      <c r="N31" s="54">
        <v>86</v>
      </c>
      <c r="O31" s="55">
        <v>63</v>
      </c>
      <c r="Q31" s="128"/>
      <c r="R31" s="129"/>
      <c r="T31" s="128"/>
      <c r="U31" s="129"/>
      <c r="W31" s="128"/>
      <c r="X31" s="129"/>
      <c r="Z31" s="128">
        <f>N31+Q31+T31+W31</f>
        <v>86</v>
      </c>
      <c r="AA31" s="129">
        <f>O31+R31+U31+X31</f>
        <v>63</v>
      </c>
    </row>
    <row r="32" spans="1:27" ht="15">
      <c r="A32" s="1"/>
      <c r="B32" s="4" t="s">
        <v>21</v>
      </c>
      <c r="C32" s="19"/>
      <c r="D32" s="56">
        <f>+G32-N32</f>
        <v>-1879</v>
      </c>
      <c r="E32" s="58">
        <f>+H32-O32</f>
        <v>-1276</v>
      </c>
      <c r="F32" s="27"/>
      <c r="G32" s="56">
        <f>+Workings!D27</f>
        <v>-3752</v>
      </c>
      <c r="H32" s="56">
        <f>+Workings!E27</f>
        <v>-2377</v>
      </c>
      <c r="I32" s="132"/>
      <c r="J32" s="1"/>
      <c r="K32" s="1"/>
      <c r="L32" s="1"/>
      <c r="M32" s="1"/>
      <c r="N32" s="56">
        <v>-1873</v>
      </c>
      <c r="O32" s="58">
        <v>-1101</v>
      </c>
      <c r="Q32" s="130"/>
      <c r="R32" s="131"/>
      <c r="T32" s="130"/>
      <c r="U32" s="131"/>
      <c r="W32" s="130"/>
      <c r="X32" s="131"/>
      <c r="Z32" s="130">
        <f>N32+Q32+T32+W32</f>
        <v>-1873</v>
      </c>
      <c r="AA32" s="131">
        <f>O32+R32+U32+X32</f>
        <v>-1101</v>
      </c>
    </row>
    <row r="33" spans="1:15" ht="15">
      <c r="A33" s="1"/>
      <c r="B33" s="4"/>
      <c r="C33" s="19"/>
      <c r="D33" s="27"/>
      <c r="E33" s="27"/>
      <c r="F33" s="27"/>
      <c r="G33" s="27"/>
      <c r="H33" s="27"/>
      <c r="I33" s="121"/>
      <c r="J33" s="1"/>
      <c r="K33" s="1"/>
      <c r="L33" s="1"/>
      <c r="M33" s="1"/>
      <c r="N33" s="27"/>
      <c r="O33" s="27"/>
    </row>
    <row r="34" spans="1:15" ht="15">
      <c r="A34" s="1"/>
      <c r="B34" s="4"/>
      <c r="C34" s="19"/>
      <c r="D34" s="27"/>
      <c r="E34" s="27"/>
      <c r="F34" s="27"/>
      <c r="G34" s="27"/>
      <c r="H34" s="27"/>
      <c r="I34" s="121"/>
      <c r="J34" s="1"/>
      <c r="K34" s="1"/>
      <c r="L34" s="1"/>
      <c r="M34" s="1"/>
      <c r="N34" s="27"/>
      <c r="O34" s="27"/>
    </row>
    <row r="35" spans="1:27" ht="15">
      <c r="A35" s="1"/>
      <c r="B35" s="4" t="s">
        <v>90</v>
      </c>
      <c r="C35" s="19"/>
      <c r="D35" s="57">
        <f>+G35-N35</f>
        <v>27</v>
      </c>
      <c r="E35" s="57">
        <f>+H35-O35</f>
        <v>-11</v>
      </c>
      <c r="F35" s="28"/>
      <c r="G35" s="57">
        <f>+Workings!D31</f>
        <v>-2</v>
      </c>
      <c r="H35" s="57">
        <f>+Workings!E31</f>
        <v>-11</v>
      </c>
      <c r="I35" s="121"/>
      <c r="J35" s="1"/>
      <c r="K35" s="1"/>
      <c r="L35" s="1"/>
      <c r="M35" s="1"/>
      <c r="N35" s="57">
        <v>-29</v>
      </c>
      <c r="O35" s="33">
        <v>0</v>
      </c>
      <c r="Q35" s="127"/>
      <c r="R35" s="127"/>
      <c r="T35" s="127"/>
      <c r="U35" s="127"/>
      <c r="W35" s="127"/>
      <c r="X35" s="127"/>
      <c r="Z35" s="127">
        <f>N35+Q35+T35+W35</f>
        <v>-29</v>
      </c>
      <c r="AA35" s="127">
        <f>O35+R35+U35+X35</f>
        <v>0</v>
      </c>
    </row>
    <row r="36" spans="1:15" ht="15">
      <c r="A36" s="1"/>
      <c r="B36" s="4"/>
      <c r="C36" s="19"/>
      <c r="D36" s="28"/>
      <c r="E36" s="28"/>
      <c r="F36" s="28"/>
      <c r="G36" s="28"/>
      <c r="H36" s="28"/>
      <c r="I36" s="121"/>
      <c r="J36" s="1"/>
      <c r="K36" s="1"/>
      <c r="L36" s="1"/>
      <c r="M36" s="1"/>
      <c r="N36" s="28"/>
      <c r="O36" s="28"/>
    </row>
    <row r="37" spans="1:15" ht="15">
      <c r="A37" s="1"/>
      <c r="B37" s="4"/>
      <c r="C37" s="19"/>
      <c r="D37" s="28"/>
      <c r="E37" s="28"/>
      <c r="F37" s="28"/>
      <c r="G37" s="28"/>
      <c r="H37" s="28"/>
      <c r="I37" s="121"/>
      <c r="J37" s="1"/>
      <c r="K37" s="1"/>
      <c r="L37" s="1"/>
      <c r="M37" s="1"/>
      <c r="N37" s="28"/>
      <c r="O37" s="28"/>
    </row>
    <row r="38" spans="1:27" ht="15">
      <c r="A38" s="1"/>
      <c r="B38" s="26" t="s">
        <v>567</v>
      </c>
      <c r="C38" s="19"/>
      <c r="D38" s="29">
        <f>SUM(D34:D35)+D28+D30</f>
        <v>-8430</v>
      </c>
      <c r="E38" s="29">
        <f>SUM(E34:E35)+E28+E30</f>
        <v>-241</v>
      </c>
      <c r="F38" s="29"/>
      <c r="G38" s="29">
        <f>SUM(G34:G35)+G28+G30</f>
        <v>-4900</v>
      </c>
      <c r="H38" s="29">
        <f>SUM(H34:H35)+H28+H30</f>
        <v>1588</v>
      </c>
      <c r="I38" s="121"/>
      <c r="J38" s="1"/>
      <c r="K38" s="1"/>
      <c r="L38" s="1"/>
      <c r="M38" s="1"/>
      <c r="N38" s="29">
        <f>SUM(N34:N35)+N28+N30</f>
        <v>3530</v>
      </c>
      <c r="O38" s="29">
        <f>SUM(O34:O35)+O28+O30</f>
        <v>1829</v>
      </c>
      <c r="Q38" s="29">
        <f>SUM(Q34:Q35)+Q28+Q30</f>
        <v>0</v>
      </c>
      <c r="R38" s="29">
        <f>SUM(R34:R35)+R28+R30</f>
        <v>0</v>
      </c>
      <c r="T38" s="29">
        <f>SUM(T34:T35)+T28+T30</f>
        <v>0</v>
      </c>
      <c r="U38" s="29">
        <f>SUM(U34:U35)+U28+U30</f>
        <v>0</v>
      </c>
      <c r="W38" s="29">
        <f>SUM(W34:W35)+W28+W30</f>
        <v>0</v>
      </c>
      <c r="X38" s="29">
        <f>SUM(X34:X35)+X28+X30</f>
        <v>0</v>
      </c>
      <c r="Z38" s="29">
        <f>SUM(Z34:Z35)+Z28+Z30</f>
        <v>3530</v>
      </c>
      <c r="AA38" s="29">
        <f>SUM(AA34:AA35)+AA28+AA30</f>
        <v>1829</v>
      </c>
    </row>
    <row r="39" spans="1:15" ht="15">
      <c r="A39" s="1"/>
      <c r="B39" s="26"/>
      <c r="C39" s="19"/>
      <c r="D39" s="29"/>
      <c r="E39" s="29"/>
      <c r="F39" s="29"/>
      <c r="G39" s="29"/>
      <c r="H39" s="29"/>
      <c r="I39" s="121"/>
      <c r="J39" s="1"/>
      <c r="K39" s="1"/>
      <c r="L39" s="1"/>
      <c r="M39" s="1"/>
      <c r="N39" s="29"/>
      <c r="O39" s="29"/>
    </row>
    <row r="40" spans="1:27" ht="15">
      <c r="A40" s="1"/>
      <c r="B40" s="26" t="s">
        <v>34</v>
      </c>
      <c r="C40" s="19"/>
      <c r="D40" s="57">
        <f>+G40-N40</f>
        <v>288</v>
      </c>
      <c r="E40" s="57">
        <f>+H40-O40</f>
        <v>-512</v>
      </c>
      <c r="F40" s="29"/>
      <c r="G40" s="17">
        <f>+Workings!D35</f>
        <v>-1056</v>
      </c>
      <c r="H40" s="17">
        <f>+Workings!E35</f>
        <v>-1335</v>
      </c>
      <c r="I40" s="121"/>
      <c r="J40" s="1"/>
      <c r="K40" s="1"/>
      <c r="L40" s="1"/>
      <c r="M40" s="1"/>
      <c r="N40" s="17">
        <v>-1344</v>
      </c>
      <c r="O40" s="17">
        <v>-823</v>
      </c>
      <c r="Q40" s="127"/>
      <c r="R40" s="127"/>
      <c r="T40" s="127"/>
      <c r="U40" s="127"/>
      <c r="W40" s="127"/>
      <c r="X40" s="127"/>
      <c r="Z40" s="127">
        <f>N40+Q40+T40+W40</f>
        <v>-1344</v>
      </c>
      <c r="AA40" s="127">
        <f>O40+R40+U40+X40</f>
        <v>-823</v>
      </c>
    </row>
    <row r="41" spans="1:15" ht="15">
      <c r="A41" s="1"/>
      <c r="B41" s="26"/>
      <c r="C41" s="19"/>
      <c r="D41" s="29"/>
      <c r="E41" s="29"/>
      <c r="F41" s="29"/>
      <c r="G41" s="29"/>
      <c r="H41" s="29"/>
      <c r="I41" s="121"/>
      <c r="J41" s="1"/>
      <c r="K41" s="1"/>
      <c r="L41" s="1"/>
      <c r="M41" s="1"/>
      <c r="N41" s="29"/>
      <c r="O41" s="29"/>
    </row>
    <row r="42" spans="1:27" ht="15">
      <c r="A42" s="1"/>
      <c r="B42" s="26" t="s">
        <v>568</v>
      </c>
      <c r="C42" s="19"/>
      <c r="D42" s="29">
        <f>SUM(D36:D40)</f>
        <v>-8142</v>
      </c>
      <c r="E42" s="29">
        <f>SUM(E36:E40)</f>
        <v>-753</v>
      </c>
      <c r="F42" s="29"/>
      <c r="G42" s="29">
        <f>SUM(G36:G40)</f>
        <v>-5956</v>
      </c>
      <c r="H42" s="29">
        <f>SUM(H36:H40)</f>
        <v>253</v>
      </c>
      <c r="I42" s="121"/>
      <c r="J42" s="1"/>
      <c r="K42" s="1"/>
      <c r="L42" s="1"/>
      <c r="M42" s="1"/>
      <c r="N42" s="29">
        <f>SUM(N36:N40)</f>
        <v>2186</v>
      </c>
      <c r="O42" s="29">
        <f>SUM(O36:O40)</f>
        <v>1006</v>
      </c>
      <c r="Q42" s="29">
        <f>SUM(Q36:Q40)</f>
        <v>0</v>
      </c>
      <c r="R42" s="29">
        <f>SUM(R36:R40)</f>
        <v>0</v>
      </c>
      <c r="T42" s="29">
        <f>SUM(T36:T40)</f>
        <v>0</v>
      </c>
      <c r="U42" s="29">
        <f>SUM(U36:U40)</f>
        <v>0</v>
      </c>
      <c r="W42" s="29">
        <f>SUM(W36:W40)</f>
        <v>0</v>
      </c>
      <c r="X42" s="29">
        <f>SUM(X36:X40)</f>
        <v>0</v>
      </c>
      <c r="Z42" s="2">
        <f>SUM(Z38:Z40)</f>
        <v>2186</v>
      </c>
      <c r="AA42" s="2">
        <f>SUM(AA38:AA40)</f>
        <v>1006</v>
      </c>
    </row>
    <row r="43" spans="1:15" ht="15">
      <c r="A43" s="1"/>
      <c r="B43" s="26"/>
      <c r="C43" s="19"/>
      <c r="D43" s="29"/>
      <c r="E43" s="29"/>
      <c r="F43" s="29"/>
      <c r="G43" s="29"/>
      <c r="H43" s="29"/>
      <c r="I43" s="121"/>
      <c r="J43" s="1"/>
      <c r="K43" s="1"/>
      <c r="L43" s="1"/>
      <c r="M43" s="1"/>
      <c r="N43" s="29"/>
      <c r="O43" s="29"/>
    </row>
    <row r="44" spans="1:27" ht="15">
      <c r="A44" s="1"/>
      <c r="B44" s="26" t="s">
        <v>22</v>
      </c>
      <c r="C44" s="19"/>
      <c r="D44" s="57">
        <f>+G44-N44</f>
        <v>0</v>
      </c>
      <c r="E44" s="17">
        <v>0</v>
      </c>
      <c r="F44" s="29"/>
      <c r="G44" s="17">
        <f>+Workings!D39</f>
        <v>0</v>
      </c>
      <c r="H44" s="17">
        <f>+Workings!E39</f>
        <v>0</v>
      </c>
      <c r="I44" s="121"/>
      <c r="J44" s="1"/>
      <c r="K44" s="1"/>
      <c r="L44" s="1"/>
      <c r="M44" s="1"/>
      <c r="N44" s="17">
        <v>0</v>
      </c>
      <c r="O44" s="17">
        <v>0</v>
      </c>
      <c r="Q44" s="127"/>
      <c r="R44" s="127"/>
      <c r="T44" s="127"/>
      <c r="U44" s="127"/>
      <c r="W44" s="127"/>
      <c r="X44" s="127"/>
      <c r="Z44" s="127">
        <f>N44+Q44+T44+W44</f>
        <v>0</v>
      </c>
      <c r="AA44" s="127">
        <f>O44+R44+U44+X44</f>
        <v>0</v>
      </c>
    </row>
    <row r="45" spans="1:15" ht="15">
      <c r="A45" s="1"/>
      <c r="B45" s="26"/>
      <c r="C45" s="19"/>
      <c r="D45" s="29"/>
      <c r="E45" s="29"/>
      <c r="F45" s="29"/>
      <c r="G45" s="29"/>
      <c r="H45" s="29"/>
      <c r="I45" s="121"/>
      <c r="J45" s="1"/>
      <c r="K45" s="1"/>
      <c r="L45" s="1"/>
      <c r="M45" s="1"/>
      <c r="N45" s="29"/>
      <c r="O45" s="29"/>
    </row>
    <row r="46" spans="1:27" ht="15.75" thickBot="1">
      <c r="A46" s="1"/>
      <c r="B46" s="32" t="s">
        <v>9</v>
      </c>
      <c r="C46" s="21"/>
      <c r="D46" s="34">
        <f>SUM(D41:D44)</f>
        <v>-8142</v>
      </c>
      <c r="E46" s="34">
        <f>SUM(E41:E44)</f>
        <v>-753</v>
      </c>
      <c r="F46" s="29"/>
      <c r="G46" s="34">
        <f>SUM(G41:G44)</f>
        <v>-5956</v>
      </c>
      <c r="H46" s="34">
        <f>SUM(H41:H44)</f>
        <v>253</v>
      </c>
      <c r="I46" s="121"/>
      <c r="J46" s="1"/>
      <c r="K46" s="1"/>
      <c r="L46" s="1"/>
      <c r="M46" s="1"/>
      <c r="N46" s="34">
        <f>SUM(N41:N44)</f>
        <v>2186</v>
      </c>
      <c r="O46" s="34">
        <f>SUM(O41:O44)</f>
        <v>1006</v>
      </c>
      <c r="Q46" s="34">
        <f>SUM(Q41:Q44)</f>
        <v>0</v>
      </c>
      <c r="R46" s="34">
        <f>SUM(R41:R44)</f>
        <v>0</v>
      </c>
      <c r="T46" s="34">
        <f>SUM(T41:T44)</f>
        <v>0</v>
      </c>
      <c r="U46" s="34">
        <f>SUM(U41:U44)</f>
        <v>0</v>
      </c>
      <c r="W46" s="34">
        <f>SUM(W41:W44)</f>
        <v>0</v>
      </c>
      <c r="X46" s="34">
        <f>SUM(X41:X44)</f>
        <v>0</v>
      </c>
      <c r="Z46" s="34">
        <f>SUM(Z41:Z44)</f>
        <v>2186</v>
      </c>
      <c r="AA46" s="34">
        <f>SUM(AA41:AA44)</f>
        <v>1006</v>
      </c>
    </row>
    <row r="47" spans="1:15" ht="15.75" thickTop="1">
      <c r="A47" s="1"/>
      <c r="B47" s="32"/>
      <c r="C47" s="21"/>
      <c r="D47" s="29"/>
      <c r="E47" s="29"/>
      <c r="F47" s="29"/>
      <c r="G47" s="29"/>
      <c r="H47" s="29"/>
      <c r="I47" s="121"/>
      <c r="J47" s="1"/>
      <c r="K47" s="1"/>
      <c r="L47" s="1"/>
      <c r="M47" s="1"/>
      <c r="N47" s="29"/>
      <c r="O47" s="29"/>
    </row>
    <row r="48" spans="1:15" ht="15">
      <c r="A48" s="1"/>
      <c r="B48" s="32" t="s">
        <v>74</v>
      </c>
      <c r="C48" s="21"/>
      <c r="D48" s="29"/>
      <c r="E48" s="29"/>
      <c r="F48" s="29"/>
      <c r="G48" s="29"/>
      <c r="H48" s="29"/>
      <c r="I48" s="121"/>
      <c r="J48" s="1"/>
      <c r="K48" s="1"/>
      <c r="L48" s="1"/>
      <c r="M48" s="1"/>
      <c r="N48" s="29"/>
      <c r="O48" s="29"/>
    </row>
    <row r="49" spans="1:15" ht="15">
      <c r="A49" s="1"/>
      <c r="B49" s="32" t="s">
        <v>75</v>
      </c>
      <c r="C49" s="21"/>
      <c r="D49" s="52">
        <f>D46/(+CBS!$H$47*2)*100</f>
        <v>-3.13771735109138</v>
      </c>
      <c r="E49" s="52">
        <f>(E46)/27908*100</f>
        <v>-2.6981510677941807</v>
      </c>
      <c r="F49" s="52"/>
      <c r="G49" s="52">
        <f>G46/(+CBS!$H$47*2)*100</f>
        <v>-2.2952891848563324</v>
      </c>
      <c r="H49" s="52">
        <f>(H46)/38815*100</f>
        <v>0.6518098673193353</v>
      </c>
      <c r="I49" s="121"/>
      <c r="J49" s="1"/>
      <c r="K49" s="1"/>
      <c r="L49" s="1"/>
      <c r="M49" s="1"/>
      <c r="N49" s="52">
        <f>N46/259488*100</f>
        <v>0.8424281662350476</v>
      </c>
      <c r="O49" s="52">
        <f>(O46)/88383*100</f>
        <v>1.1382279397621715</v>
      </c>
    </row>
    <row r="50" spans="1:15" ht="15">
      <c r="A50" s="1"/>
      <c r="B50" s="32" t="s">
        <v>76</v>
      </c>
      <c r="C50" s="21"/>
      <c r="D50" s="53" t="s">
        <v>35</v>
      </c>
      <c r="E50" s="53" t="s">
        <v>35</v>
      </c>
      <c r="F50" s="53"/>
      <c r="G50" s="53" t="s">
        <v>35</v>
      </c>
      <c r="H50" s="53" t="s">
        <v>35</v>
      </c>
      <c r="I50" s="121"/>
      <c r="J50" s="1"/>
      <c r="K50" s="1"/>
      <c r="L50" s="1"/>
      <c r="M50" s="1"/>
      <c r="O50" s="53" t="s">
        <v>35</v>
      </c>
    </row>
    <row r="51" spans="1:13" ht="15">
      <c r="A51" s="1"/>
      <c r="B51" s="4"/>
      <c r="C51" s="19"/>
      <c r="D51" s="35"/>
      <c r="E51" s="35"/>
      <c r="F51" s="35"/>
      <c r="G51" s="35"/>
      <c r="H51" s="35"/>
      <c r="I51" s="121"/>
      <c r="J51" s="1"/>
      <c r="K51" s="1"/>
      <c r="L51" s="1"/>
      <c r="M51" s="1"/>
    </row>
    <row r="52" spans="1:13" ht="15">
      <c r="A52" s="1"/>
      <c r="B52" s="569" t="s">
        <v>563</v>
      </c>
      <c r="C52" s="570"/>
      <c r="D52" s="570"/>
      <c r="E52" s="570"/>
      <c r="F52" s="570"/>
      <c r="G52" s="570"/>
      <c r="H52" s="570"/>
      <c r="I52" s="121"/>
      <c r="J52" s="1"/>
      <c r="K52" s="1"/>
      <c r="L52" s="1"/>
      <c r="M52" s="1"/>
    </row>
    <row r="53" spans="1:13" ht="15">
      <c r="A53" s="1"/>
      <c r="B53" s="570"/>
      <c r="C53" s="570"/>
      <c r="D53" s="570"/>
      <c r="E53" s="570"/>
      <c r="F53" s="570"/>
      <c r="G53" s="570"/>
      <c r="H53" s="570"/>
      <c r="I53" s="121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/>
      <c r="B65" s="1"/>
      <c r="C65" s="1"/>
      <c r="D65" s="1"/>
      <c r="E65" s="1"/>
      <c r="F65" s="1"/>
      <c r="G65" s="1"/>
      <c r="H65" s="1"/>
      <c r="I65" s="133"/>
      <c r="J65" s="134"/>
      <c r="K65" s="134"/>
      <c r="L65" s="134"/>
      <c r="M65" s="135"/>
    </row>
    <row r="66" spans="1:13" ht="15">
      <c r="A66" s="1"/>
      <c r="B66" s="1"/>
      <c r="C66" s="1"/>
      <c r="D66" s="1"/>
      <c r="E66" s="1"/>
      <c r="F66" s="1"/>
      <c r="G66" s="1"/>
      <c r="H66" s="1"/>
      <c r="I66" s="136"/>
      <c r="J66" s="64"/>
      <c r="K66" s="64"/>
      <c r="L66" s="64"/>
      <c r="M66" s="137"/>
    </row>
    <row r="67" spans="1:13" ht="15">
      <c r="A67" s="1"/>
      <c r="B67" s="1"/>
      <c r="C67" s="1"/>
      <c r="D67" s="1"/>
      <c r="E67" s="1"/>
      <c r="F67" s="1"/>
      <c r="G67" s="1"/>
      <c r="H67" s="1"/>
      <c r="I67" s="136"/>
      <c r="J67" s="64"/>
      <c r="K67" s="64"/>
      <c r="L67" s="64"/>
      <c r="M67" s="137"/>
    </row>
    <row r="68" spans="1:13" ht="15">
      <c r="A68" s="1"/>
      <c r="B68" s="1"/>
      <c r="C68" s="1"/>
      <c r="D68" s="1"/>
      <c r="E68" s="1"/>
      <c r="F68" s="1"/>
      <c r="G68" s="1"/>
      <c r="H68" s="1"/>
      <c r="I68" s="136"/>
      <c r="J68" s="64"/>
      <c r="K68" s="64"/>
      <c r="L68" s="64"/>
      <c r="M68" s="137"/>
    </row>
    <row r="69" spans="1:13" ht="15">
      <c r="A69" s="1"/>
      <c r="B69" s="1"/>
      <c r="C69" s="1"/>
      <c r="D69" s="1"/>
      <c r="E69" s="1"/>
      <c r="F69" s="1"/>
      <c r="G69" s="1"/>
      <c r="H69" s="1"/>
      <c r="I69" s="136"/>
      <c r="J69" s="64"/>
      <c r="K69" s="64"/>
      <c r="L69" s="64"/>
      <c r="M69" s="137"/>
    </row>
    <row r="70" spans="1:13" ht="15">
      <c r="A70" s="1"/>
      <c r="B70" s="1"/>
      <c r="C70" s="1"/>
      <c r="D70" s="1"/>
      <c r="E70" s="1"/>
      <c r="F70" s="1"/>
      <c r="G70" s="1"/>
      <c r="H70" s="1"/>
      <c r="I70" s="136"/>
      <c r="J70" s="64"/>
      <c r="K70" s="64"/>
      <c r="L70" s="64"/>
      <c r="M70" s="137"/>
    </row>
    <row r="71" spans="1:13" ht="15">
      <c r="A71" s="1"/>
      <c r="B71" s="1"/>
      <c r="C71" s="1"/>
      <c r="D71" s="1"/>
      <c r="E71" s="1"/>
      <c r="F71" s="1"/>
      <c r="G71" s="1"/>
      <c r="H71" s="1"/>
      <c r="I71" s="136"/>
      <c r="J71" s="64"/>
      <c r="K71" s="64"/>
      <c r="L71" s="64"/>
      <c r="M71" s="137"/>
    </row>
    <row r="72" spans="1:13" ht="15">
      <c r="A72" s="1"/>
      <c r="B72" s="1"/>
      <c r="C72" s="1"/>
      <c r="D72" s="1"/>
      <c r="E72" s="1"/>
      <c r="F72" s="1"/>
      <c r="G72" s="1"/>
      <c r="H72" s="1"/>
      <c r="I72" s="136"/>
      <c r="J72" s="64"/>
      <c r="K72" s="64"/>
      <c r="L72" s="64"/>
      <c r="M72" s="137"/>
    </row>
    <row r="73" spans="1:13" ht="15">
      <c r="A73" s="1"/>
      <c r="B73" s="1"/>
      <c r="C73" s="1"/>
      <c r="D73" s="1"/>
      <c r="E73" s="1"/>
      <c r="F73" s="1"/>
      <c r="G73" s="1"/>
      <c r="H73" s="1"/>
      <c r="I73" s="136"/>
      <c r="J73" s="64"/>
      <c r="K73" s="64"/>
      <c r="L73" s="64"/>
      <c r="M73" s="137"/>
    </row>
    <row r="74" spans="1:13" ht="15">
      <c r="A74" s="1"/>
      <c r="B74" s="1"/>
      <c r="C74" s="1"/>
      <c r="D74" s="1"/>
      <c r="E74" s="1"/>
      <c r="F74" s="1"/>
      <c r="G74" s="1"/>
      <c r="H74" s="1"/>
      <c r="I74" s="136"/>
      <c r="J74" s="64"/>
      <c r="K74" s="64"/>
      <c r="L74" s="64"/>
      <c r="M74" s="137"/>
    </row>
    <row r="75" spans="1:13" ht="15">
      <c r="A75" s="1"/>
      <c r="B75" s="1"/>
      <c r="C75" s="1"/>
      <c r="D75" s="1"/>
      <c r="E75" s="1"/>
      <c r="F75" s="1"/>
      <c r="G75" s="1"/>
      <c r="H75" s="1"/>
      <c r="I75" s="136"/>
      <c r="J75" s="64"/>
      <c r="K75" s="64"/>
      <c r="L75" s="64"/>
      <c r="M75" s="137"/>
    </row>
    <row r="76" spans="1:13" ht="15">
      <c r="A76" s="1"/>
      <c r="B76" s="1"/>
      <c r="C76" s="1"/>
      <c r="D76" s="1"/>
      <c r="E76" s="1"/>
      <c r="F76" s="1"/>
      <c r="G76" s="1"/>
      <c r="H76" s="1"/>
      <c r="I76" s="136"/>
      <c r="J76" s="64"/>
      <c r="K76" s="64"/>
      <c r="L76" s="64"/>
      <c r="M76" s="137"/>
    </row>
    <row r="77" spans="1:13" ht="15">
      <c r="A77" s="1"/>
      <c r="B77" s="1"/>
      <c r="C77" s="1"/>
      <c r="D77" s="1"/>
      <c r="E77" s="1"/>
      <c r="F77" s="1"/>
      <c r="G77" s="1"/>
      <c r="H77" s="1"/>
      <c r="I77" s="136"/>
      <c r="J77" s="64"/>
      <c r="K77" s="64"/>
      <c r="L77" s="64"/>
      <c r="M77" s="137"/>
    </row>
    <row r="78" spans="1:13" ht="15">
      <c r="A78" s="1"/>
      <c r="B78" s="1"/>
      <c r="C78" s="1"/>
      <c r="D78" s="1"/>
      <c r="E78" s="1"/>
      <c r="F78" s="1"/>
      <c r="G78" s="1"/>
      <c r="H78" s="1"/>
      <c r="I78" s="136"/>
      <c r="J78" s="64"/>
      <c r="K78" s="64"/>
      <c r="L78" s="64"/>
      <c r="M78" s="137"/>
    </row>
    <row r="79" spans="1:13" ht="15">
      <c r="A79" s="1"/>
      <c r="B79" s="1"/>
      <c r="C79" s="1"/>
      <c r="D79" s="1"/>
      <c r="E79" s="1"/>
      <c r="F79" s="1"/>
      <c r="G79" s="1"/>
      <c r="H79" s="1"/>
      <c r="I79" s="136"/>
      <c r="J79" s="64"/>
      <c r="K79" s="64"/>
      <c r="L79" s="64"/>
      <c r="M79" s="137"/>
    </row>
    <row r="80" spans="1:13" ht="15">
      <c r="A80" s="1"/>
      <c r="B80" s="1"/>
      <c r="C80" s="1"/>
      <c r="D80" s="1"/>
      <c r="E80" s="1"/>
      <c r="F80" s="1"/>
      <c r="G80" s="1"/>
      <c r="H80" s="1"/>
      <c r="I80" s="136"/>
      <c r="J80" s="64"/>
      <c r="K80" s="64"/>
      <c r="L80" s="64"/>
      <c r="M80" s="137"/>
    </row>
    <row r="81" spans="1:13" ht="15">
      <c r="A81" s="1"/>
      <c r="B81" s="1"/>
      <c r="C81" s="1"/>
      <c r="D81" s="1"/>
      <c r="E81" s="1"/>
      <c r="F81" s="1"/>
      <c r="G81" s="1"/>
      <c r="H81" s="1"/>
      <c r="I81" s="138"/>
      <c r="J81" s="139"/>
      <c r="K81" s="139"/>
      <c r="L81" s="139"/>
      <c r="M81" s="140"/>
    </row>
  </sheetData>
  <mergeCells count="10">
    <mergeCell ref="N10:O10"/>
    <mergeCell ref="B52:H53"/>
    <mergeCell ref="D10:E10"/>
    <mergeCell ref="G10:H10"/>
    <mergeCell ref="B8:H8"/>
    <mergeCell ref="B4:I4"/>
    <mergeCell ref="B2:H2"/>
    <mergeCell ref="B6:H6"/>
    <mergeCell ref="B7:H7"/>
    <mergeCell ref="B3:I3"/>
  </mergeCells>
  <printOptions/>
  <pageMargins left="0.75" right="0.47" top="0.73" bottom="0.44" header="0.5" footer="0.5"/>
  <pageSetup fitToHeight="1" fitToWidth="1" horizontalDpi="360" verticalDpi="36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30">
      <selection activeCell="G37" sqref="G37"/>
    </sheetView>
  </sheetViews>
  <sheetFormatPr defaultColWidth="8.88671875" defaultRowHeight="15"/>
  <cols>
    <col min="1" max="1" width="3.21484375" style="431" customWidth="1"/>
    <col min="2" max="2" width="7.99609375" style="431" customWidth="1"/>
    <col min="3" max="3" width="10.88671875" style="431" bestFit="1" customWidth="1"/>
    <col min="4" max="4" width="8.10546875" style="431" bestFit="1" customWidth="1"/>
    <col min="5" max="5" width="12.10546875" style="431" bestFit="1" customWidth="1"/>
    <col min="6" max="16384" width="7.99609375" style="431" customWidth="1"/>
  </cols>
  <sheetData>
    <row r="1" spans="1:7" ht="15.75">
      <c r="A1" s="430" t="s">
        <v>524</v>
      </c>
      <c r="G1" s="431" t="s">
        <v>525</v>
      </c>
    </row>
    <row r="2" ht="15.75">
      <c r="A2" s="430" t="s">
        <v>526</v>
      </c>
    </row>
    <row r="4" ht="15.75">
      <c r="A4" s="430" t="s">
        <v>527</v>
      </c>
    </row>
    <row r="6" spans="2:4" s="432" customFormat="1" ht="15.75">
      <c r="B6" s="432" t="s">
        <v>36</v>
      </c>
      <c r="C6" s="432" t="s">
        <v>528</v>
      </c>
      <c r="D6" s="432" t="s">
        <v>529</v>
      </c>
    </row>
    <row r="7" spans="3:4" s="432" customFormat="1" ht="15.75">
      <c r="C7" s="432" t="s">
        <v>530</v>
      </c>
      <c r="D7" s="432" t="s">
        <v>531</v>
      </c>
    </row>
    <row r="8" spans="3:5" s="432" customFormat="1" ht="15.75">
      <c r="C8" s="432" t="s">
        <v>532</v>
      </c>
      <c r="D8" s="432" t="s">
        <v>533</v>
      </c>
      <c r="E8" s="432" t="s">
        <v>534</v>
      </c>
    </row>
    <row r="9" spans="2:5" ht="15.75">
      <c r="B9" s="433" t="s">
        <v>535</v>
      </c>
      <c r="C9" s="431">
        <v>8400000</v>
      </c>
      <c r="D9" s="431">
        <v>30</v>
      </c>
      <c r="E9" s="431">
        <f>C9*D9/$D$21</f>
        <v>688524.5901639344</v>
      </c>
    </row>
    <row r="10" spans="2:5" ht="15.75">
      <c r="B10" s="433" t="s">
        <v>536</v>
      </c>
      <c r="C10" s="431">
        <v>8400000</v>
      </c>
      <c r="D10" s="431">
        <v>31</v>
      </c>
      <c r="E10" s="431">
        <f aca="true" t="shared" si="0" ref="E10:E20">C10*D10/$D$21</f>
        <v>711475.4098360656</v>
      </c>
    </row>
    <row r="11" spans="2:5" ht="15.75">
      <c r="B11" s="433" t="s">
        <v>537</v>
      </c>
      <c r="C11" s="431">
        <v>112243860</v>
      </c>
      <c r="D11" s="431">
        <v>31</v>
      </c>
      <c r="E11" s="431">
        <f t="shared" si="0"/>
        <v>9506993.606557377</v>
      </c>
    </row>
    <row r="12" spans="2:5" ht="15.75">
      <c r="B12" s="433" t="s">
        <v>538</v>
      </c>
      <c r="C12" s="431">
        <v>112243860</v>
      </c>
      <c r="D12" s="431">
        <v>30</v>
      </c>
      <c r="E12" s="431">
        <f t="shared" si="0"/>
        <v>9200316.393442623</v>
      </c>
    </row>
    <row r="13" spans="2:5" ht="15.75">
      <c r="B13" s="433" t="s">
        <v>539</v>
      </c>
      <c r="C13" s="431">
        <v>112243860</v>
      </c>
      <c r="D13" s="431">
        <v>31</v>
      </c>
      <c r="E13" s="431">
        <f t="shared" si="0"/>
        <v>9506993.606557377</v>
      </c>
    </row>
    <row r="14" spans="2:5" ht="15.75">
      <c r="B14" s="433" t="s">
        <v>540</v>
      </c>
      <c r="C14" s="431">
        <v>112243860</v>
      </c>
      <c r="D14" s="431">
        <v>30</v>
      </c>
      <c r="E14" s="431">
        <f t="shared" si="0"/>
        <v>9200316.393442623</v>
      </c>
    </row>
    <row r="15" spans="2:5" ht="15.75">
      <c r="B15" s="433" t="s">
        <v>541</v>
      </c>
      <c r="C15" s="431">
        <v>112243860</v>
      </c>
      <c r="D15" s="431">
        <v>31</v>
      </c>
      <c r="E15" s="431">
        <f t="shared" si="0"/>
        <v>9506993.606557377</v>
      </c>
    </row>
    <row r="16" spans="2:5" ht="15.75">
      <c r="B16" s="433" t="s">
        <v>542</v>
      </c>
      <c r="C16" s="431">
        <v>224487720</v>
      </c>
      <c r="D16" s="431">
        <v>31</v>
      </c>
      <c r="E16" s="431">
        <f t="shared" si="0"/>
        <v>19013987.213114753</v>
      </c>
    </row>
    <row r="17" spans="2:5" ht="15.75">
      <c r="B17" s="433" t="s">
        <v>543</v>
      </c>
      <c r="C17" s="431">
        <v>224487720</v>
      </c>
      <c r="D17" s="431">
        <v>29</v>
      </c>
      <c r="E17" s="431">
        <f t="shared" si="0"/>
        <v>17787278.360655736</v>
      </c>
    </row>
    <row r="18" spans="2:5" ht="15.75">
      <c r="B18" s="433" t="s">
        <v>544</v>
      </c>
      <c r="C18" s="431">
        <v>224487720</v>
      </c>
      <c r="D18" s="431">
        <v>31</v>
      </c>
      <c r="E18" s="431">
        <f t="shared" si="0"/>
        <v>19013987.213114753</v>
      </c>
    </row>
    <row r="19" spans="2:5" ht="15.75">
      <c r="B19" s="433" t="s">
        <v>545</v>
      </c>
      <c r="C19" s="431">
        <v>224487720</v>
      </c>
      <c r="D19" s="431">
        <v>30</v>
      </c>
      <c r="E19" s="431">
        <f t="shared" si="0"/>
        <v>18400632.786885247</v>
      </c>
    </row>
    <row r="20" spans="2:5" ht="15.75">
      <c r="B20" s="433" t="s">
        <v>546</v>
      </c>
      <c r="C20" s="431">
        <v>224487720</v>
      </c>
      <c r="D20" s="431">
        <v>31</v>
      </c>
      <c r="E20" s="431">
        <f t="shared" si="0"/>
        <v>19013987.213114753</v>
      </c>
    </row>
    <row r="21" spans="4:5" ht="16.5" thickBot="1">
      <c r="D21" s="434">
        <f>SUM(D9:D20)</f>
        <v>366</v>
      </c>
      <c r="E21" s="434">
        <f>SUM(E9:E20)</f>
        <v>141551486.39344263</v>
      </c>
    </row>
    <row r="22" ht="16.5" thickTop="1">
      <c r="D22" s="432" t="s">
        <v>547</v>
      </c>
    </row>
    <row r="24" spans="2:5" ht="15.75">
      <c r="B24" s="431" t="s">
        <v>548</v>
      </c>
      <c r="E24" s="431">
        <f>E21</f>
        <v>141551486.39344263</v>
      </c>
    </row>
    <row r="26" spans="2:6" ht="15.75">
      <c r="B26" s="431" t="s">
        <v>549</v>
      </c>
      <c r="E26" s="431">
        <f>'[3]B'!P46</f>
        <v>12863708.52174437</v>
      </c>
      <c r="F26" s="430" t="s">
        <v>550</v>
      </c>
    </row>
    <row r="28" spans="2:6" ht="16.5" thickBot="1">
      <c r="B28" s="431" t="s">
        <v>551</v>
      </c>
      <c r="E28" s="435">
        <f>E26/E24*100</f>
        <v>9.08765343939213</v>
      </c>
      <c r="F28" s="431" t="s">
        <v>552</v>
      </c>
    </row>
    <row r="29" ht="16.5" thickTop="1"/>
    <row r="31" spans="2:4" s="432" customFormat="1" ht="15.75">
      <c r="B31" s="432" t="s">
        <v>36</v>
      </c>
      <c r="C31" s="432" t="s">
        <v>528</v>
      </c>
      <c r="D31" s="432" t="s">
        <v>529</v>
      </c>
    </row>
    <row r="32" spans="3:4" s="432" customFormat="1" ht="15.75">
      <c r="C32" s="432" t="s">
        <v>530</v>
      </c>
      <c r="D32" s="432" t="s">
        <v>531</v>
      </c>
    </row>
    <row r="33" spans="3:5" s="432" customFormat="1" ht="15.75">
      <c r="C33" s="432" t="s">
        <v>532</v>
      </c>
      <c r="D33" s="432" t="s">
        <v>533</v>
      </c>
      <c r="E33" s="432" t="s">
        <v>534</v>
      </c>
    </row>
    <row r="34" spans="2:5" ht="15.75">
      <c r="B34" s="433" t="s">
        <v>538</v>
      </c>
      <c r="C34" s="431">
        <v>112243860</v>
      </c>
      <c r="D34" s="431">
        <v>30</v>
      </c>
      <c r="E34" s="431">
        <f>C34*D34/$D$21</f>
        <v>9200316.393442623</v>
      </c>
    </row>
    <row r="35" spans="2:5" ht="15.75">
      <c r="B35" s="433" t="s">
        <v>539</v>
      </c>
      <c r="C35" s="431">
        <v>112243860</v>
      </c>
      <c r="D35" s="431">
        <v>31</v>
      </c>
      <c r="E35" s="431">
        <f>C35*D35/$D$21</f>
        <v>9506993.606557377</v>
      </c>
    </row>
    <row r="36" spans="2:5" ht="15.75">
      <c r="B36" s="433" t="s">
        <v>540</v>
      </c>
      <c r="C36" s="431">
        <v>112243860</v>
      </c>
      <c r="D36" s="431">
        <v>30</v>
      </c>
      <c r="E36" s="431">
        <f>C36*D36/$D$21</f>
        <v>9200316.393442623</v>
      </c>
    </row>
    <row r="37" spans="4:5" ht="16.5" thickBot="1">
      <c r="D37" s="434">
        <f>SUM(D34:D36)</f>
        <v>91</v>
      </c>
      <c r="E37" s="434">
        <f>SUM(E34:E36)</f>
        <v>27907626.393442623</v>
      </c>
    </row>
    <row r="38" ht="16.5" thickTop="1">
      <c r="D38" s="432" t="s">
        <v>547</v>
      </c>
    </row>
    <row r="43" spans="2:4" s="432" customFormat="1" ht="15.75">
      <c r="B43" s="432" t="s">
        <v>36</v>
      </c>
      <c r="C43" s="432" t="s">
        <v>528</v>
      </c>
      <c r="D43" s="432" t="s">
        <v>529</v>
      </c>
    </row>
    <row r="44" spans="3:4" s="432" customFormat="1" ht="15.75">
      <c r="C44" s="432" t="s">
        <v>530</v>
      </c>
      <c r="D44" s="432" t="s">
        <v>531</v>
      </c>
    </row>
    <row r="45" spans="3:5" s="432" customFormat="1" ht="15.75">
      <c r="C45" s="432" t="s">
        <v>532</v>
      </c>
      <c r="D45" s="432" t="s">
        <v>533</v>
      </c>
      <c r="E45" s="432" t="s">
        <v>534</v>
      </c>
    </row>
    <row r="46" spans="2:5" ht="15.75">
      <c r="B46" s="433" t="s">
        <v>535</v>
      </c>
      <c r="C46" s="431">
        <v>8400000</v>
      </c>
      <c r="D46" s="431">
        <v>30</v>
      </c>
      <c r="E46" s="431">
        <f aca="true" t="shared" si="1" ref="E46:E51">C46*D46/$D$21</f>
        <v>688524.5901639344</v>
      </c>
    </row>
    <row r="47" spans="2:5" ht="15.75">
      <c r="B47" s="433" t="s">
        <v>536</v>
      </c>
      <c r="C47" s="431">
        <v>8400000</v>
      </c>
      <c r="D47" s="431">
        <v>31</v>
      </c>
      <c r="E47" s="431">
        <f t="shared" si="1"/>
        <v>711475.4098360656</v>
      </c>
    </row>
    <row r="48" spans="2:5" ht="15.75">
      <c r="B48" s="433" t="s">
        <v>537</v>
      </c>
      <c r="C48" s="431">
        <v>112243860</v>
      </c>
      <c r="D48" s="431">
        <v>31</v>
      </c>
      <c r="E48" s="431">
        <f t="shared" si="1"/>
        <v>9506993.606557377</v>
      </c>
    </row>
    <row r="49" spans="2:5" ht="15.75">
      <c r="B49" s="433" t="s">
        <v>538</v>
      </c>
      <c r="C49" s="431">
        <v>112243860</v>
      </c>
      <c r="D49" s="431">
        <v>30</v>
      </c>
      <c r="E49" s="431">
        <f t="shared" si="1"/>
        <v>9200316.393442623</v>
      </c>
    </row>
    <row r="50" spans="2:5" ht="15.75">
      <c r="B50" s="433" t="s">
        <v>539</v>
      </c>
      <c r="C50" s="431">
        <v>112243860</v>
      </c>
      <c r="D50" s="431">
        <v>31</v>
      </c>
      <c r="E50" s="431">
        <f t="shared" si="1"/>
        <v>9506993.606557377</v>
      </c>
    </row>
    <row r="51" spans="2:5" ht="15.75">
      <c r="B51" s="433" t="s">
        <v>540</v>
      </c>
      <c r="C51" s="431">
        <v>112243860</v>
      </c>
      <c r="D51" s="431">
        <v>30</v>
      </c>
      <c r="E51" s="431">
        <f t="shared" si="1"/>
        <v>9200316.393442623</v>
      </c>
    </row>
    <row r="52" spans="4:5" ht="16.5" thickBot="1">
      <c r="D52" s="434">
        <f>SUM(D46:D51)</f>
        <v>183</v>
      </c>
      <c r="E52" s="434">
        <f>SUM(E46:E51)</f>
        <v>38814620</v>
      </c>
    </row>
    <row r="53" ht="16.5" thickTop="1">
      <c r="D53" s="432" t="s">
        <v>547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340"/>
  <sheetViews>
    <sheetView zoomScale="75" zoomScaleNormal="75" workbookViewId="0" topLeftCell="A217">
      <selection activeCell="C221" sqref="C221:G258"/>
    </sheetView>
  </sheetViews>
  <sheetFormatPr defaultColWidth="8.88671875" defaultRowHeight="15"/>
  <cols>
    <col min="1" max="1" width="1.77734375" style="472" customWidth="1"/>
    <col min="2" max="2" width="1.99609375" style="472" customWidth="1"/>
    <col min="3" max="3" width="24.6640625" style="472" customWidth="1"/>
    <col min="4" max="4" width="12.77734375" style="484" customWidth="1"/>
    <col min="5" max="5" width="10.77734375" style="508" customWidth="1"/>
    <col min="6" max="6" width="10.77734375" style="472" customWidth="1"/>
    <col min="7" max="7" width="10.88671875" style="472" customWidth="1"/>
    <col min="8" max="8" width="8.88671875" style="472" customWidth="1"/>
    <col min="9" max="9" width="9.88671875" style="472" bestFit="1" customWidth="1"/>
    <col min="10" max="16384" width="8.88671875" style="472" customWidth="1"/>
  </cols>
  <sheetData>
    <row r="1" spans="2:5" ht="15.75" customHeight="1">
      <c r="B1" s="468" t="s">
        <v>87</v>
      </c>
      <c r="C1" s="469"/>
      <c r="D1" s="470"/>
      <c r="E1" s="471"/>
    </row>
    <row r="2" spans="2:5" ht="15.75" customHeight="1">
      <c r="B2" s="473"/>
      <c r="C2" s="469"/>
      <c r="D2" s="470"/>
      <c r="E2" s="471"/>
    </row>
    <row r="3" spans="2:5" ht="15.75" customHeight="1">
      <c r="B3" s="474" t="s">
        <v>447</v>
      </c>
      <c r="C3" s="469"/>
      <c r="D3" s="470"/>
      <c r="E3" s="471"/>
    </row>
    <row r="4" spans="2:5" ht="15.75" customHeight="1">
      <c r="B4" s="474" t="s">
        <v>448</v>
      </c>
      <c r="C4" s="469"/>
      <c r="D4" s="470"/>
      <c r="E4" s="471"/>
    </row>
    <row r="5" spans="2:5" ht="15.75" customHeight="1">
      <c r="B5" s="474"/>
      <c r="C5" s="469"/>
      <c r="D5" s="470"/>
      <c r="E5" s="471"/>
    </row>
    <row r="6" spans="2:5" ht="15.75" customHeight="1">
      <c r="B6" s="474"/>
      <c r="C6" s="469"/>
      <c r="D6" s="475">
        <v>38321</v>
      </c>
      <c r="E6" s="476">
        <v>37955</v>
      </c>
    </row>
    <row r="7" spans="2:5" ht="15.75" customHeight="1">
      <c r="B7" s="469"/>
      <c r="C7" s="469"/>
      <c r="D7" s="477" t="s">
        <v>189</v>
      </c>
      <c r="E7" s="477" t="s">
        <v>189</v>
      </c>
    </row>
    <row r="8" spans="2:5" ht="15.75" customHeight="1">
      <c r="B8" s="469"/>
      <c r="C8" s="469"/>
      <c r="D8" s="478" t="s">
        <v>33</v>
      </c>
      <c r="E8" s="478" t="s">
        <v>33</v>
      </c>
    </row>
    <row r="9" spans="2:5" ht="15.75" customHeight="1">
      <c r="B9" s="469"/>
      <c r="C9" s="469"/>
      <c r="D9" s="470"/>
      <c r="E9" s="471"/>
    </row>
    <row r="10" spans="2:5" ht="15.75" customHeight="1">
      <c r="B10" s="479" t="s">
        <v>449</v>
      </c>
      <c r="C10" s="469"/>
      <c r="D10" s="480">
        <f>ROUND('[4]SAP&amp;L'!P10/1000,0)+3366</f>
        <v>162296</v>
      </c>
      <c r="E10" s="480">
        <v>110532</v>
      </c>
    </row>
    <row r="11" spans="2:5" ht="15.75" customHeight="1">
      <c r="B11" s="469"/>
      <c r="C11" s="469"/>
      <c r="D11" s="480"/>
      <c r="E11" s="480"/>
    </row>
    <row r="12" spans="2:5" ht="15.75" customHeight="1">
      <c r="B12" s="479" t="s">
        <v>126</v>
      </c>
      <c r="C12" s="469"/>
      <c r="D12" s="481">
        <f>+ROUND(('[4]SAP&amp;L'!P12+'[4]SAP&amp;L'!P18)/1000,0)-3366+5600</f>
        <v>-131477</v>
      </c>
      <c r="E12" s="482">
        <v>-87390</v>
      </c>
    </row>
    <row r="13" spans="2:5" ht="15.75" customHeight="1">
      <c r="B13" s="469"/>
      <c r="C13" s="469"/>
      <c r="D13" s="480"/>
      <c r="E13" s="480"/>
    </row>
    <row r="14" spans="2:5" ht="15.75" customHeight="1">
      <c r="B14" s="479" t="s">
        <v>450</v>
      </c>
      <c r="C14" s="469"/>
      <c r="D14" s="480">
        <f>SUM(D10:D12)</f>
        <v>30819</v>
      </c>
      <c r="E14" s="480">
        <f>SUM(E10:E12)</f>
        <v>23142</v>
      </c>
    </row>
    <row r="15" spans="2:5" ht="15.75" customHeight="1">
      <c r="B15" s="469"/>
      <c r="C15" s="469"/>
      <c r="D15" s="480"/>
      <c r="E15" s="480"/>
    </row>
    <row r="16" spans="2:5" ht="15.75" customHeight="1">
      <c r="B16" s="479" t="s">
        <v>12</v>
      </c>
      <c r="C16" s="469"/>
      <c r="D16" s="483">
        <f>ROUND(('[4]SAP&amp;L'!P28)/1000,0)</f>
        <v>536</v>
      </c>
      <c r="E16" s="483">
        <v>393</v>
      </c>
    </row>
    <row r="17" spans="2:5" ht="15.75" customHeight="1">
      <c r="B17" s="469"/>
      <c r="C17" s="469"/>
      <c r="E17" s="484"/>
    </row>
    <row r="18" spans="2:5" ht="15.75" customHeight="1">
      <c r="B18" s="479" t="s">
        <v>26</v>
      </c>
      <c r="C18" s="469"/>
      <c r="D18" s="483">
        <f>ROUND(('[4]SAP&amp;L'!P19+'[4]SAP&amp;L'!P21)/1000,0)</f>
        <v>-15120</v>
      </c>
      <c r="E18" s="483">
        <v>-10818</v>
      </c>
    </row>
    <row r="19" spans="2:5" ht="15.75" customHeight="1">
      <c r="B19" s="469"/>
      <c r="C19" s="469"/>
      <c r="E19" s="484"/>
    </row>
    <row r="20" spans="2:5" ht="15.75" customHeight="1">
      <c r="B20" s="469" t="s">
        <v>27</v>
      </c>
      <c r="C20" s="469"/>
      <c r="D20" s="480">
        <f>ROUND('[4]SAP&amp;L'!P20/1000,0)</f>
        <v>-8416</v>
      </c>
      <c r="E20" s="480">
        <v>-7139</v>
      </c>
    </row>
    <row r="21" spans="2:5" ht="15.75" customHeight="1">
      <c r="B21" s="469"/>
      <c r="C21" s="469"/>
      <c r="D21" s="480"/>
      <c r="E21" s="480"/>
    </row>
    <row r="22" spans="2:5" ht="15.75" customHeight="1">
      <c r="B22" s="479" t="s">
        <v>28</v>
      </c>
      <c r="C22" s="469"/>
      <c r="D22" s="485">
        <f>ROUND('[4]SAP&amp;L'!P22/1000,0)-5600</f>
        <v>-9105</v>
      </c>
      <c r="E22" s="485">
        <v>-1746</v>
      </c>
    </row>
    <row r="23" spans="2:5" ht="15.75" customHeight="1">
      <c r="B23" s="479"/>
      <c r="C23" s="469"/>
      <c r="D23" s="480"/>
      <c r="E23" s="480"/>
    </row>
    <row r="24" spans="2:5" ht="15.75" customHeight="1">
      <c r="B24" s="479" t="s">
        <v>451</v>
      </c>
      <c r="C24" s="469"/>
      <c r="D24" s="480">
        <f>SUM(D14:D22)</f>
        <v>-1286</v>
      </c>
      <c r="E24" s="480">
        <f>SUM(E14:E22)</f>
        <v>3832</v>
      </c>
    </row>
    <row r="25" spans="2:5" ht="15.75" customHeight="1">
      <c r="B25" s="479"/>
      <c r="C25" s="469"/>
      <c r="D25" s="480"/>
      <c r="E25" s="480"/>
    </row>
    <row r="26" spans="2:5" ht="15.75" customHeight="1">
      <c r="B26" s="479" t="s">
        <v>452</v>
      </c>
      <c r="C26" s="469"/>
      <c r="D26" s="480">
        <f>ROUND('[4]SAP&amp;L'!P36/1000,0)</f>
        <v>140</v>
      </c>
      <c r="E26" s="480">
        <v>144</v>
      </c>
    </row>
    <row r="27" spans="2:5" ht="15.75" customHeight="1">
      <c r="B27" s="479" t="s">
        <v>453</v>
      </c>
      <c r="C27" s="469"/>
      <c r="D27" s="485">
        <f>ROUND(('[4]SAP&amp;L'!P38+'[4]SAP&amp;L'!P37)/1000,0)</f>
        <v>-3752</v>
      </c>
      <c r="E27" s="485">
        <v>-2377</v>
      </c>
    </row>
    <row r="28" spans="2:5" s="488" customFormat="1" ht="15.75" customHeight="1">
      <c r="B28" s="486"/>
      <c r="C28" s="487"/>
      <c r="D28" s="480"/>
      <c r="E28" s="480"/>
    </row>
    <row r="29" spans="2:5" ht="15.75" customHeight="1">
      <c r="B29" s="479" t="s">
        <v>454</v>
      </c>
      <c r="C29" s="469"/>
      <c r="D29" s="480">
        <f>SUM(D24:D27)</f>
        <v>-4898</v>
      </c>
      <c r="E29" s="480">
        <f>SUM(E24:E27)</f>
        <v>1599</v>
      </c>
    </row>
    <row r="30" spans="2:5" ht="15.75" customHeight="1">
      <c r="B30" s="479"/>
      <c r="C30" s="469"/>
      <c r="D30" s="480"/>
      <c r="E30" s="480"/>
    </row>
    <row r="31" spans="2:5" ht="15.75" customHeight="1">
      <c r="B31" s="479" t="s">
        <v>90</v>
      </c>
      <c r="C31" s="469"/>
      <c r="D31" s="485">
        <f>ROUND('[4]SAP&amp;L'!P27/1000,0)</f>
        <v>-2</v>
      </c>
      <c r="E31" s="489">
        <v>-11</v>
      </c>
    </row>
    <row r="32" spans="2:5" ht="15.75" customHeight="1">
      <c r="B32" s="479"/>
      <c r="C32" s="469"/>
      <c r="D32" s="480"/>
      <c r="E32" s="480"/>
    </row>
    <row r="33" spans="2:5" ht="15.75" customHeight="1">
      <c r="B33" s="479" t="s">
        <v>455</v>
      </c>
      <c r="C33" s="469"/>
      <c r="D33" s="480">
        <f>SUM(D29:D31)</f>
        <v>-4900</v>
      </c>
      <c r="E33" s="480">
        <f>SUM(E29:E31)</f>
        <v>1588</v>
      </c>
    </row>
    <row r="34" spans="2:5" s="488" customFormat="1" ht="15.75" customHeight="1">
      <c r="B34" s="359"/>
      <c r="C34" s="487"/>
      <c r="D34" s="490"/>
      <c r="E34" s="490"/>
    </row>
    <row r="35" spans="2:5" ht="15.75" customHeight="1">
      <c r="B35" s="469" t="s">
        <v>34</v>
      </c>
      <c r="C35" s="469"/>
      <c r="D35" s="485">
        <f>ROUND('[4]SAP&amp;L'!P42/1000,0)</f>
        <v>-1056</v>
      </c>
      <c r="E35" s="485">
        <v>-1335</v>
      </c>
    </row>
    <row r="36" spans="2:5" ht="15.75" customHeight="1">
      <c r="B36" s="469"/>
      <c r="C36" s="469"/>
      <c r="D36" s="480"/>
      <c r="E36" s="480"/>
    </row>
    <row r="37" spans="2:5" ht="15.75" customHeight="1">
      <c r="B37" s="486" t="s">
        <v>456</v>
      </c>
      <c r="C37" s="487"/>
      <c r="D37" s="480">
        <f>SUM(D33:D35)</f>
        <v>-5956</v>
      </c>
      <c r="E37" s="480">
        <f>SUM(E33:E35)</f>
        <v>253</v>
      </c>
    </row>
    <row r="38" spans="2:5" ht="15.75" customHeight="1">
      <c r="B38" s="488"/>
      <c r="C38" s="486"/>
      <c r="D38" s="483"/>
      <c r="E38" s="483"/>
    </row>
    <row r="39" spans="2:5" ht="15.75" customHeight="1">
      <c r="B39" s="488" t="s">
        <v>22</v>
      </c>
      <c r="C39" s="486"/>
      <c r="D39" s="491">
        <v>0</v>
      </c>
      <c r="E39" s="491">
        <v>0</v>
      </c>
    </row>
    <row r="40" spans="2:5" ht="15.75" customHeight="1">
      <c r="B40" s="487"/>
      <c r="C40" s="487"/>
      <c r="D40" s="483"/>
      <c r="E40" s="483"/>
    </row>
    <row r="41" spans="2:5" ht="15.75" customHeight="1" thickBot="1">
      <c r="B41" s="469" t="s">
        <v>457</v>
      </c>
      <c r="C41" s="469"/>
      <c r="D41" s="492">
        <f>SUM(D37:D39)</f>
        <v>-5956</v>
      </c>
      <c r="E41" s="493">
        <f>SUM(E37:E39)</f>
        <v>253</v>
      </c>
    </row>
    <row r="42" spans="2:5" ht="15.75" customHeight="1">
      <c r="B42" s="469"/>
      <c r="C42" s="469"/>
      <c r="D42" s="470"/>
      <c r="E42" s="470"/>
    </row>
    <row r="43" spans="2:5" ht="15.75" customHeight="1" hidden="1">
      <c r="B43" s="494" t="s">
        <v>458</v>
      </c>
      <c r="C43" s="494"/>
      <c r="D43" s="470"/>
      <c r="E43" s="470"/>
    </row>
    <row r="44" spans="2:5" ht="15.75" customHeight="1" hidden="1">
      <c r="B44" s="494"/>
      <c r="C44" s="494" t="s">
        <v>459</v>
      </c>
      <c r="D44" s="495">
        <v>0</v>
      </c>
      <c r="E44" s="470"/>
    </row>
    <row r="45" spans="2:5" ht="15.75" customHeight="1">
      <c r="B45" s="494"/>
      <c r="C45" s="494"/>
      <c r="D45" s="470"/>
      <c r="E45" s="470"/>
    </row>
    <row r="46" spans="4:5" ht="15.75" customHeight="1">
      <c r="D46" s="496"/>
      <c r="E46" s="497"/>
    </row>
    <row r="47" spans="2:5" ht="15.75" customHeight="1">
      <c r="B47" s="474" t="s">
        <v>460</v>
      </c>
      <c r="C47" s="469"/>
      <c r="D47" s="470"/>
      <c r="E47" s="471"/>
    </row>
    <row r="48" spans="2:5" ht="15.75" customHeight="1">
      <c r="B48" s="474"/>
      <c r="C48" s="469"/>
      <c r="D48" s="475">
        <f>D6</f>
        <v>38321</v>
      </c>
      <c r="E48" s="475" t="s">
        <v>557</v>
      </c>
    </row>
    <row r="49" spans="2:5" ht="15.75" customHeight="1">
      <c r="B49" s="474"/>
      <c r="C49" s="469"/>
      <c r="D49" s="477" t="s">
        <v>189</v>
      </c>
      <c r="E49" s="477" t="s">
        <v>189</v>
      </c>
    </row>
    <row r="50" spans="2:5" ht="15.75" customHeight="1">
      <c r="B50" s="469"/>
      <c r="C50" s="469"/>
      <c r="D50" s="478" t="s">
        <v>33</v>
      </c>
      <c r="E50" s="478" t="s">
        <v>33</v>
      </c>
    </row>
    <row r="51" spans="2:5" ht="15.75" customHeight="1">
      <c r="B51" s="469"/>
      <c r="C51" s="469"/>
      <c r="D51" s="498"/>
      <c r="E51" s="499"/>
    </row>
    <row r="52" spans="2:5" ht="15.75" customHeight="1">
      <c r="B52" s="474" t="s">
        <v>461</v>
      </c>
      <c r="C52" s="469"/>
      <c r="D52" s="500"/>
      <c r="E52" s="501"/>
    </row>
    <row r="53" spans="2:5" ht="15.75" customHeight="1">
      <c r="B53" s="469" t="s">
        <v>23</v>
      </c>
      <c r="C53" s="469"/>
      <c r="D53" s="500">
        <f>ROUND('[4]SABS'!U10/1000,0)</f>
        <v>59124</v>
      </c>
      <c r="E53" s="500">
        <v>58814</v>
      </c>
    </row>
    <row r="54" spans="2:5" ht="15.75" customHeight="1">
      <c r="B54" s="502" t="s">
        <v>462</v>
      </c>
      <c r="C54" s="502"/>
      <c r="D54" s="500">
        <f>ROUND('[4]SABS'!S12/1000,0)</f>
        <v>0</v>
      </c>
      <c r="E54" s="500">
        <v>0</v>
      </c>
    </row>
    <row r="55" spans="2:5" ht="15.75" customHeight="1">
      <c r="B55" s="502" t="s">
        <v>463</v>
      </c>
      <c r="C55" s="502"/>
      <c r="D55" s="500">
        <f>ROUND('[4]SABS'!S13/1000,0)</f>
        <v>5024</v>
      </c>
      <c r="E55" s="500">
        <v>5001</v>
      </c>
    </row>
    <row r="56" spans="2:5" ht="15.75" customHeight="1">
      <c r="B56" s="502" t="s">
        <v>464</v>
      </c>
      <c r="C56" s="502"/>
      <c r="D56" s="500">
        <f>ROUND('[4]SABS'!U15/1000,0)</f>
        <v>5903</v>
      </c>
      <c r="E56" s="500">
        <v>8509</v>
      </c>
    </row>
    <row r="57" spans="2:5" ht="15.75" customHeight="1">
      <c r="B57" s="502" t="s">
        <v>465</v>
      </c>
      <c r="C57" s="502"/>
      <c r="D57" s="500">
        <f>ROUND('[4]SABS'!S16/1000,0)</f>
        <v>13848</v>
      </c>
      <c r="E57" s="500">
        <v>14505</v>
      </c>
    </row>
    <row r="58" spans="2:5" ht="15.75" customHeight="1">
      <c r="B58" s="469" t="s">
        <v>39</v>
      </c>
      <c r="C58" s="469"/>
      <c r="D58" s="503">
        <f>ROUND('[4]SABS'!S17/1000,0)</f>
        <v>5294</v>
      </c>
      <c r="E58" s="503">
        <v>5069</v>
      </c>
    </row>
    <row r="59" spans="2:5" ht="15.75" customHeight="1">
      <c r="B59" s="469"/>
      <c r="C59" s="469"/>
      <c r="D59" s="500"/>
      <c r="E59" s="500"/>
    </row>
    <row r="60" spans="2:5" ht="15.75" customHeight="1">
      <c r="B60" s="469"/>
      <c r="C60" s="469"/>
      <c r="D60" s="503">
        <f>SUM(D53:D58)</f>
        <v>89193</v>
      </c>
      <c r="E60" s="503">
        <f>SUM(E53:E58)</f>
        <v>91898</v>
      </c>
    </row>
    <row r="61" spans="2:5" ht="15.75" customHeight="1">
      <c r="B61" s="474" t="s">
        <v>253</v>
      </c>
      <c r="C61" s="469"/>
      <c r="D61" s="500"/>
      <c r="E61" s="500"/>
    </row>
    <row r="62" spans="2:5" ht="15.75" customHeight="1">
      <c r="B62" s="469" t="s">
        <v>86</v>
      </c>
      <c r="C62" s="469"/>
      <c r="D62" s="504">
        <f>ROUND('[4]SABS'!U20/1000,0)-1</f>
        <v>104680</v>
      </c>
      <c r="E62" s="504">
        <v>86745</v>
      </c>
    </row>
    <row r="63" spans="2:5" ht="15.75" customHeight="1">
      <c r="B63" s="469" t="s">
        <v>466</v>
      </c>
      <c r="C63" s="469"/>
      <c r="D63" s="441">
        <f>ROUND(('[4]SABS'!U23)/1000,0)</f>
        <v>156917</v>
      </c>
      <c r="E63" s="441">
        <v>148992</v>
      </c>
    </row>
    <row r="64" spans="2:5" ht="15.75" customHeight="1">
      <c r="B64" s="469" t="s">
        <v>467</v>
      </c>
      <c r="C64" s="469"/>
      <c r="D64" s="441">
        <f>ROUND(('[4]SABS'!U26)/1000,0)</f>
        <v>19000</v>
      </c>
      <c r="E64" s="441">
        <v>11077</v>
      </c>
    </row>
    <row r="65" spans="2:5" ht="15.75" customHeight="1">
      <c r="B65" s="469" t="s">
        <v>468</v>
      </c>
      <c r="C65" s="469"/>
      <c r="D65" s="441"/>
      <c r="E65" s="441"/>
    </row>
    <row r="66" spans="2:5" ht="15.75" customHeight="1">
      <c r="B66" s="469"/>
      <c r="C66" s="469" t="s">
        <v>469</v>
      </c>
      <c r="D66" s="441">
        <f>ROUND('[4]SABS'!S28/1000,0)</f>
        <v>6</v>
      </c>
      <c r="E66" s="441">
        <v>0</v>
      </c>
    </row>
    <row r="67" spans="2:5" ht="15.75" customHeight="1">
      <c r="B67" s="469" t="s">
        <v>264</v>
      </c>
      <c r="C67" s="469"/>
      <c r="D67" s="441">
        <f>ROUND('[4]SABS'!S30/1000,0)</f>
        <v>0</v>
      </c>
      <c r="E67" s="441">
        <v>0</v>
      </c>
    </row>
    <row r="68" spans="2:5" ht="15.75" customHeight="1">
      <c r="B68" s="469" t="s">
        <v>470</v>
      </c>
      <c r="C68" s="469"/>
      <c r="D68" s="441">
        <f>ROUND('[4]SABS'!S29/1000,0)</f>
        <v>393</v>
      </c>
      <c r="E68" s="441">
        <v>1209</v>
      </c>
    </row>
    <row r="69" spans="2:5" ht="15.75" customHeight="1">
      <c r="B69" s="469" t="s">
        <v>471</v>
      </c>
      <c r="C69" s="469"/>
      <c r="D69" s="440"/>
      <c r="E69" s="440"/>
    </row>
    <row r="70" spans="2:5" ht="15.75" customHeight="1">
      <c r="B70" s="469"/>
      <c r="C70" s="469" t="s">
        <v>472</v>
      </c>
      <c r="D70" s="441">
        <f>ROUND('[4]SABS'!S31/1000,0)</f>
        <v>14336</v>
      </c>
      <c r="E70" s="441">
        <v>22227</v>
      </c>
    </row>
    <row r="71" spans="2:5" ht="15.75" customHeight="1">
      <c r="B71" s="469" t="s">
        <v>46</v>
      </c>
      <c r="C71" s="469"/>
      <c r="D71" s="458">
        <f>ROUND('[4]SABS'!S32/1000,0)</f>
        <v>6789</v>
      </c>
      <c r="E71" s="458">
        <v>13597</v>
      </c>
    </row>
    <row r="72" spans="2:5" ht="15.75" customHeight="1">
      <c r="B72" s="469"/>
      <c r="C72" s="469"/>
      <c r="D72" s="504"/>
      <c r="E72" s="504"/>
    </row>
    <row r="73" spans="2:5" ht="15.75" customHeight="1">
      <c r="B73" s="469"/>
      <c r="C73" s="469"/>
      <c r="D73" s="505">
        <f>SUM(D62:D71)</f>
        <v>302121</v>
      </c>
      <c r="E73" s="505">
        <f>SUM(E62:E71)</f>
        <v>283847</v>
      </c>
    </row>
    <row r="74" spans="2:5" ht="15.75" customHeight="1">
      <c r="B74" s="469"/>
      <c r="C74" s="469"/>
      <c r="D74" s="500"/>
      <c r="E74" s="500"/>
    </row>
    <row r="75" spans="2:5" ht="15.75" customHeight="1">
      <c r="B75" s="474" t="s">
        <v>220</v>
      </c>
      <c r="C75" s="469"/>
      <c r="D75" s="500"/>
      <c r="E75" s="501"/>
    </row>
    <row r="76" spans="2:5" ht="15.75" customHeight="1">
      <c r="B76" s="469" t="s">
        <v>473</v>
      </c>
      <c r="C76" s="469"/>
      <c r="D76" s="504">
        <f>ROUND(-'[4]SABS'!S36/1000,0)</f>
        <v>80494</v>
      </c>
      <c r="E76" s="504">
        <v>68911</v>
      </c>
    </row>
    <row r="77" spans="2:5" ht="15.75" customHeight="1">
      <c r="B77" s="469" t="s">
        <v>474</v>
      </c>
      <c r="C77" s="469"/>
      <c r="D77" s="441">
        <f>-ROUND('[4]SABS'!U38/1000,0)-D76</f>
        <v>17030</v>
      </c>
      <c r="E77" s="441">
        <v>15841</v>
      </c>
    </row>
    <row r="78" spans="2:5" ht="15.75" customHeight="1">
      <c r="B78" s="469" t="s">
        <v>468</v>
      </c>
      <c r="C78" s="469"/>
      <c r="D78" s="441"/>
      <c r="E78" s="442"/>
    </row>
    <row r="79" spans="2:5" ht="15.75" customHeight="1">
      <c r="B79" s="469"/>
      <c r="C79" s="469" t="s">
        <v>469</v>
      </c>
      <c r="D79" s="441">
        <f>-ROUND('[4]SABS'!S42/1000,0)</f>
        <v>760</v>
      </c>
      <c r="E79" s="442">
        <v>0</v>
      </c>
    </row>
    <row r="80" spans="2:5" ht="15.75" customHeight="1">
      <c r="B80" s="469" t="s">
        <v>226</v>
      </c>
      <c r="C80" s="469"/>
      <c r="D80" s="452">
        <f>-ROUND('[4]SABS'!S44/1000,0)</f>
        <v>0</v>
      </c>
      <c r="E80" s="442">
        <v>0</v>
      </c>
    </row>
    <row r="81" spans="2:5" ht="15.75" customHeight="1">
      <c r="B81" s="469" t="s">
        <v>475</v>
      </c>
      <c r="C81" s="469"/>
      <c r="D81" s="441">
        <f>-ROUND('[4]SABS'!S43/1000,0)</f>
        <v>940</v>
      </c>
      <c r="E81" s="442">
        <v>1142</v>
      </c>
    </row>
    <row r="82" spans="2:5" ht="15.75" customHeight="1">
      <c r="B82" s="469" t="s">
        <v>212</v>
      </c>
      <c r="C82" s="469"/>
      <c r="D82" s="441">
        <f>ROUND((-'[4]SABS'!U47-'[4]SABS'!S40)/1000,0)</f>
        <v>64398</v>
      </c>
      <c r="E82" s="441">
        <v>73799</v>
      </c>
    </row>
    <row r="83" spans="2:5" ht="15.75" customHeight="1">
      <c r="B83" s="469" t="s">
        <v>51</v>
      </c>
      <c r="C83" s="469"/>
      <c r="D83" s="441">
        <f>ROUND(-'[4]SABS'!S41/1000,0)</f>
        <v>214</v>
      </c>
      <c r="E83" s="441">
        <v>93</v>
      </c>
    </row>
    <row r="84" spans="2:5" ht="15.75" customHeight="1">
      <c r="B84" s="469" t="s">
        <v>476</v>
      </c>
      <c r="C84" s="469"/>
      <c r="D84" s="458">
        <v>0</v>
      </c>
      <c r="E84" s="458">
        <v>0</v>
      </c>
    </row>
    <row r="85" spans="2:5" ht="15.75" customHeight="1">
      <c r="B85" s="469"/>
      <c r="C85" s="469"/>
      <c r="D85" s="504"/>
      <c r="E85" s="504"/>
    </row>
    <row r="86" spans="2:5" ht="15.75" customHeight="1">
      <c r="B86" s="469"/>
      <c r="C86" s="469"/>
      <c r="D86" s="505">
        <f>SUM(D76:D84)</f>
        <v>163836</v>
      </c>
      <c r="E86" s="505">
        <f>SUM(E76:E84)</f>
        <v>159786</v>
      </c>
    </row>
    <row r="87" spans="2:5" ht="15.75" customHeight="1">
      <c r="B87" s="469"/>
      <c r="C87" s="469"/>
      <c r="D87" s="500"/>
      <c r="E87" s="501"/>
    </row>
    <row r="88" spans="2:5" ht="15.75" customHeight="1">
      <c r="B88" s="474" t="s">
        <v>477</v>
      </c>
      <c r="C88" s="469"/>
      <c r="D88" s="506">
        <f>D73-D86</f>
        <v>138285</v>
      </c>
      <c r="E88" s="507">
        <f>E73-E86</f>
        <v>124061</v>
      </c>
    </row>
    <row r="89" spans="2:3" ht="15.75" customHeight="1">
      <c r="B89" s="469"/>
      <c r="C89" s="469"/>
    </row>
    <row r="90" spans="2:5" ht="15.75" customHeight="1" thickBot="1">
      <c r="B90" s="469"/>
      <c r="C90" s="469"/>
      <c r="D90" s="492">
        <f>SUM(D60)+D88</f>
        <v>227478</v>
      </c>
      <c r="E90" s="492">
        <f>SUM(E60)+E88</f>
        <v>215959</v>
      </c>
    </row>
    <row r="91" spans="2:5" ht="15.75" customHeight="1">
      <c r="B91" s="469"/>
      <c r="C91" s="469"/>
      <c r="D91" s="509"/>
      <c r="E91" s="510"/>
    </row>
    <row r="92" spans="2:5" ht="15.75" customHeight="1">
      <c r="B92" s="469"/>
      <c r="C92" s="469"/>
      <c r="D92" s="509"/>
      <c r="E92" s="510"/>
    </row>
    <row r="93" spans="2:5" ht="15.75" customHeight="1">
      <c r="B93" s="474" t="s">
        <v>460</v>
      </c>
      <c r="C93" s="469"/>
      <c r="D93" s="470"/>
      <c r="E93" s="471"/>
    </row>
    <row r="94" spans="2:5" ht="15.75" customHeight="1">
      <c r="B94" s="474"/>
      <c r="C94" s="469"/>
      <c r="D94" s="470"/>
      <c r="E94" s="471"/>
    </row>
    <row r="95" spans="2:5" ht="15.75" customHeight="1">
      <c r="B95" s="469"/>
      <c r="C95" s="469"/>
      <c r="D95" s="509"/>
      <c r="E95" s="510"/>
    </row>
    <row r="96" spans="2:3" ht="15.75" customHeight="1">
      <c r="B96" s="474" t="s">
        <v>478</v>
      </c>
      <c r="C96" s="469"/>
    </row>
    <row r="97" spans="2:5" ht="15.75" customHeight="1">
      <c r="B97" s="474"/>
      <c r="C97" s="469"/>
      <c r="D97" s="500"/>
      <c r="E97" s="501"/>
    </row>
    <row r="98" spans="2:5" ht="15.75" customHeight="1">
      <c r="B98" s="469" t="s">
        <v>55</v>
      </c>
      <c r="C98" s="469"/>
      <c r="D98" s="511">
        <f>ROUND(-'[4]SABS'!S55/1000,0)</f>
        <v>129744</v>
      </c>
      <c r="E98" s="512">
        <v>112244</v>
      </c>
    </row>
    <row r="99" spans="2:5" ht="15.75" customHeight="1">
      <c r="B99" s="469" t="s">
        <v>31</v>
      </c>
      <c r="C99" s="469"/>
      <c r="D99" s="511">
        <f>ROUND(-'[4]SABS'!S63/1000,0)</f>
        <v>-3452</v>
      </c>
      <c r="E99" s="512">
        <v>-3996</v>
      </c>
    </row>
    <row r="100" spans="2:5" ht="15.75" customHeight="1">
      <c r="B100" s="469" t="s">
        <v>479</v>
      </c>
      <c r="C100" s="469"/>
      <c r="D100" s="503">
        <f>ROUND((-'[4]SABS'!U58)/1000,0)</f>
        <v>16380</v>
      </c>
      <c r="E100" s="513">
        <v>22337</v>
      </c>
    </row>
    <row r="101" spans="2:5" ht="15.75" customHeight="1">
      <c r="B101" s="469"/>
      <c r="C101" s="469"/>
      <c r="D101" s="500"/>
      <c r="E101" s="501"/>
    </row>
    <row r="102" spans="2:5" ht="15.75" customHeight="1">
      <c r="B102" s="474"/>
      <c r="C102" s="469"/>
      <c r="D102" s="514">
        <f>SUM(D98:D101)</f>
        <v>142672</v>
      </c>
      <c r="E102" s="515">
        <f>SUM(E98:E101)</f>
        <v>130585</v>
      </c>
    </row>
    <row r="103" spans="2:5" ht="15.75" customHeight="1">
      <c r="B103" s="469"/>
      <c r="C103" s="469"/>
      <c r="D103" s="500"/>
      <c r="E103" s="501"/>
    </row>
    <row r="104" spans="2:5" ht="15.75" customHeight="1">
      <c r="B104" s="469" t="s">
        <v>480</v>
      </c>
      <c r="D104" s="500">
        <f>ROUND(-'[4]SABS'!S69/1000,0)</f>
        <v>3697</v>
      </c>
      <c r="E104" s="500">
        <v>3856</v>
      </c>
    </row>
    <row r="105" spans="2:5" ht="15.75" customHeight="1">
      <c r="B105" s="469"/>
      <c r="D105" s="500"/>
      <c r="E105" s="501"/>
    </row>
    <row r="106" spans="2:5" ht="15.75" customHeight="1">
      <c r="B106" s="469" t="s">
        <v>481</v>
      </c>
      <c r="D106" s="500">
        <f>ROUND(-'[4]SABS'!S70/1000,0)</f>
        <v>113</v>
      </c>
      <c r="E106" s="501">
        <v>772</v>
      </c>
    </row>
    <row r="107" spans="2:5" ht="15.75" customHeight="1">
      <c r="B107" s="469"/>
      <c r="D107" s="500"/>
      <c r="E107" s="501"/>
    </row>
    <row r="108" spans="2:5" ht="15.75" customHeight="1">
      <c r="B108" s="469" t="s">
        <v>482</v>
      </c>
      <c r="D108" s="500">
        <f>ROUND(-'[4]SABS'!S71/1000,0)</f>
        <v>626</v>
      </c>
      <c r="E108" s="501">
        <v>0</v>
      </c>
    </row>
    <row r="109" spans="2:5" ht="15.75" customHeight="1">
      <c r="B109" s="469"/>
      <c r="D109" s="500"/>
      <c r="E109" s="501"/>
    </row>
    <row r="110" spans="2:5" ht="15.75" customHeight="1">
      <c r="B110" s="469" t="s">
        <v>212</v>
      </c>
      <c r="D110" s="503">
        <f>ROUND((-'[4]SABS'!S73-'[4]SABS'!S72)/1000,0)</f>
        <v>80370</v>
      </c>
      <c r="E110" s="503">
        <v>80746</v>
      </c>
    </row>
    <row r="111" spans="2:5" ht="15.75" customHeight="1">
      <c r="B111" s="469"/>
      <c r="C111" s="469"/>
      <c r="D111" s="500"/>
      <c r="E111" s="501"/>
    </row>
    <row r="112" spans="2:6" ht="15.75" customHeight="1" thickBot="1">
      <c r="B112" s="469"/>
      <c r="C112" s="469"/>
      <c r="D112" s="516">
        <f>SUM(D102:D110)</f>
        <v>227478</v>
      </c>
      <c r="E112" s="517">
        <f>SUM(E102:E110)</f>
        <v>215959</v>
      </c>
      <c r="F112" s="518"/>
    </row>
    <row r="113" spans="2:5" ht="15.75" customHeight="1">
      <c r="B113" s="469"/>
      <c r="C113" s="469"/>
      <c r="D113" s="500"/>
      <c r="E113" s="501"/>
    </row>
    <row r="114" spans="2:5" ht="15.75" customHeight="1">
      <c r="B114" s="469"/>
      <c r="C114" s="469"/>
      <c r="D114" s="500"/>
      <c r="E114" s="501"/>
    </row>
    <row r="115" spans="2:5" ht="15.75" customHeight="1">
      <c r="B115" s="469"/>
      <c r="C115" s="469"/>
      <c r="D115" s="500"/>
      <c r="E115" s="501"/>
    </row>
    <row r="116" spans="2:5" ht="15.75" customHeight="1">
      <c r="B116" s="469"/>
      <c r="C116" s="469"/>
      <c r="D116" s="500"/>
      <c r="E116" s="501"/>
    </row>
    <row r="117" spans="2:5" ht="15.75" customHeight="1">
      <c r="B117" s="474" t="s">
        <v>483</v>
      </c>
      <c r="C117" s="469"/>
      <c r="D117" s="500"/>
      <c r="E117" s="500"/>
    </row>
    <row r="118" spans="2:6" ht="15.75" customHeight="1">
      <c r="B118" s="469"/>
      <c r="C118" s="469"/>
      <c r="D118" s="475">
        <f>D6</f>
        <v>38321</v>
      </c>
      <c r="E118" s="476">
        <f>+E6</f>
        <v>37955</v>
      </c>
      <c r="F118" s="475">
        <f>+D6</f>
        <v>38321</v>
      </c>
    </row>
    <row r="119" spans="2:6" ht="15.75" customHeight="1">
      <c r="B119" s="469"/>
      <c r="C119" s="469"/>
      <c r="D119" s="477" t="s">
        <v>189</v>
      </c>
      <c r="E119" s="477" t="s">
        <v>189</v>
      </c>
      <c r="F119" s="477" t="s">
        <v>484</v>
      </c>
    </row>
    <row r="120" spans="2:6" ht="15.75" customHeight="1">
      <c r="B120" s="414"/>
      <c r="C120" s="469"/>
      <c r="D120" s="478" t="s">
        <v>33</v>
      </c>
      <c r="E120" s="478" t="s">
        <v>33</v>
      </c>
      <c r="F120" s="478" t="s">
        <v>33</v>
      </c>
    </row>
    <row r="121" spans="2:5" ht="15.75" customHeight="1">
      <c r="B121" s="414"/>
      <c r="C121" s="469"/>
      <c r="D121" s="519"/>
      <c r="E121" s="519"/>
    </row>
    <row r="122" spans="2:5" ht="15.75" customHeight="1">
      <c r="B122" s="414" t="s">
        <v>79</v>
      </c>
      <c r="C122" s="469"/>
      <c r="D122" s="519"/>
      <c r="E122" s="519"/>
    </row>
    <row r="123" spans="2:5" ht="15.75" customHeight="1">
      <c r="B123" s="414"/>
      <c r="C123" s="469"/>
      <c r="D123" s="500"/>
      <c r="E123" s="501"/>
    </row>
    <row r="124" spans="2:6" ht="15.75" customHeight="1">
      <c r="B124" s="415" t="s">
        <v>65</v>
      </c>
      <c r="C124" s="469"/>
      <c r="D124" s="500">
        <f>ROUND('[4]SAP&amp;L'!P40/1000,0)</f>
        <v>-4901</v>
      </c>
      <c r="E124" s="501">
        <v>1829</v>
      </c>
      <c r="F124" s="472">
        <f>ROUND('[4]SAP&amp;L'!B40/1000,0)</f>
        <v>2673</v>
      </c>
    </row>
    <row r="125" spans="2:5" ht="15.75" customHeight="1">
      <c r="B125" s="415"/>
      <c r="C125" s="469"/>
      <c r="D125" s="500"/>
      <c r="E125" s="501"/>
    </row>
    <row r="126" spans="2:6" ht="15.75" customHeight="1">
      <c r="B126" s="415" t="s">
        <v>77</v>
      </c>
      <c r="C126" s="469"/>
      <c r="D126" s="500">
        <f>ROUND(('[4]CF-Working1'!O221+'[4]CF-Working1'!Q221)/1000,0)-D138-D147-D124-D154</f>
        <v>7483</v>
      </c>
      <c r="E126" s="501">
        <v>3942</v>
      </c>
      <c r="F126" s="520">
        <f>ROUND('[4]CF-workingTCH'!O205/1000,0)-'[4]GRP''000'!I124-F138-F147</f>
        <v>5511</v>
      </c>
    </row>
    <row r="127" spans="2:6" ht="15.75" customHeight="1">
      <c r="B127" s="415"/>
      <c r="C127" s="469"/>
      <c r="D127" s="503"/>
      <c r="E127" s="521"/>
      <c r="F127" s="522"/>
    </row>
    <row r="128" spans="2:6" ht="15.75" customHeight="1">
      <c r="B128" s="416" t="s">
        <v>78</v>
      </c>
      <c r="C128" s="469"/>
      <c r="D128" s="500">
        <f>SUM(D124:D126)</f>
        <v>2582</v>
      </c>
      <c r="E128" s="500">
        <f>SUM(E124:E126)</f>
        <v>5771</v>
      </c>
      <c r="F128" s="500">
        <f>SUM(F124:F126)</f>
        <v>8184</v>
      </c>
    </row>
    <row r="129" spans="2:5" ht="15.75" customHeight="1">
      <c r="B129" s="415"/>
      <c r="C129" s="469"/>
      <c r="D129" s="500"/>
      <c r="E129" s="501"/>
    </row>
    <row r="130" spans="2:5" ht="15.75" customHeight="1">
      <c r="B130" s="415"/>
      <c r="C130" s="469"/>
      <c r="D130" s="500"/>
      <c r="E130" s="501"/>
    </row>
    <row r="131" spans="2:6" ht="15.75" customHeight="1">
      <c r="B131" s="416" t="s">
        <v>29</v>
      </c>
      <c r="C131" s="469"/>
      <c r="D131" s="503">
        <f>ROUND('[4]CF-Working1'!T221/1000,0)</f>
        <v>-18020</v>
      </c>
      <c r="E131" s="521">
        <v>-116512</v>
      </c>
      <c r="F131" s="523">
        <f>ROUND('[4]CF-workingTCH'!T205/1000,0)</f>
        <v>-28463</v>
      </c>
    </row>
    <row r="132" spans="2:5" ht="15.75" customHeight="1">
      <c r="B132" s="415"/>
      <c r="C132" s="469"/>
      <c r="D132" s="500"/>
      <c r="E132" s="501"/>
    </row>
    <row r="133" spans="2:6" ht="15.75" customHeight="1">
      <c r="B133" s="414" t="s">
        <v>94</v>
      </c>
      <c r="C133" s="469"/>
      <c r="D133" s="524">
        <f>SUM(D128:D132)</f>
        <v>-15438</v>
      </c>
      <c r="E133" s="524">
        <f>SUM(E128:E132)</f>
        <v>-110741</v>
      </c>
      <c r="F133" s="524">
        <f>SUM(F128:F132)</f>
        <v>-20279</v>
      </c>
    </row>
    <row r="134" spans="2:5" ht="15.75" customHeight="1">
      <c r="B134" s="415"/>
      <c r="C134" s="469"/>
      <c r="D134" s="500"/>
      <c r="E134" s="501"/>
    </row>
    <row r="135" spans="2:5" ht="15.75" customHeight="1">
      <c r="B135" s="417" t="s">
        <v>81</v>
      </c>
      <c r="C135" s="469"/>
      <c r="D135" s="500"/>
      <c r="E135" s="501"/>
    </row>
    <row r="136" spans="2:5" ht="15.75" customHeight="1">
      <c r="B136" s="417"/>
      <c r="C136" s="469"/>
      <c r="D136" s="500"/>
      <c r="E136" s="501"/>
    </row>
    <row r="137" spans="2:6" ht="15.75" customHeight="1">
      <c r="B137" s="418" t="s">
        <v>485</v>
      </c>
      <c r="C137" s="469"/>
      <c r="D137" s="504">
        <f>ROUND('[4]CF-Working1'!V24/1000,0)</f>
        <v>23</v>
      </c>
      <c r="E137" s="525">
        <v>0</v>
      </c>
      <c r="F137" s="504">
        <f>ROUND('[4]CF-Working1'!Z24/1000,0)</f>
        <v>0</v>
      </c>
    </row>
    <row r="138" spans="2:6" ht="15.75" customHeight="1">
      <c r="B138" s="418" t="s">
        <v>345</v>
      </c>
      <c r="C138" s="469"/>
      <c r="D138" s="441">
        <f>D26</f>
        <v>140</v>
      </c>
      <c r="E138" s="442">
        <v>63</v>
      </c>
      <c r="F138" s="441">
        <f>ROUND(('[4]SAP&amp;L'!B36+'[4]SAP&amp;L'!B37)/1000,0)</f>
        <v>264</v>
      </c>
    </row>
    <row r="139" spans="2:6" ht="15.75" customHeight="1">
      <c r="B139" s="418" t="s">
        <v>486</v>
      </c>
      <c r="C139" s="469"/>
      <c r="D139" s="458">
        <f>ROUND(('[4]CF-Working1'!V14+'[4]CF-Working1'!V15+'[4]CF-Working1'!V33)/1000,0)</f>
        <v>-1569</v>
      </c>
      <c r="E139" s="459">
        <v>3402</v>
      </c>
      <c r="F139" s="458">
        <f>ROUND('[4]CF-workingTCH'!V205/1000,0)</f>
        <v>-1552</v>
      </c>
    </row>
    <row r="140" spans="2:5" ht="15.75" customHeight="1">
      <c r="B140" s="418"/>
      <c r="C140" s="469"/>
      <c r="D140" s="500"/>
      <c r="E140" s="501"/>
    </row>
    <row r="141" spans="2:6" ht="15.75" customHeight="1">
      <c r="B141" s="417" t="s">
        <v>95</v>
      </c>
      <c r="C141" s="469"/>
      <c r="D141" s="524">
        <f>SUM(D137:D139)</f>
        <v>-1406</v>
      </c>
      <c r="E141" s="524">
        <f>SUM(E137:E139)</f>
        <v>3465</v>
      </c>
      <c r="F141" s="524">
        <f>SUM(F137:F139)</f>
        <v>-1288</v>
      </c>
    </row>
    <row r="142" spans="2:5" ht="15.75" customHeight="1">
      <c r="B142" s="418"/>
      <c r="C142" s="469"/>
      <c r="D142" s="500"/>
      <c r="E142" s="501"/>
    </row>
    <row r="143" spans="2:5" ht="15.75" customHeight="1">
      <c r="B143" s="417" t="s">
        <v>82</v>
      </c>
      <c r="C143" s="469"/>
      <c r="D143" s="500"/>
      <c r="E143" s="501"/>
    </row>
    <row r="144" spans="2:5" ht="15.75" customHeight="1">
      <c r="B144" s="417"/>
      <c r="C144" s="469"/>
      <c r="D144" s="500"/>
      <c r="E144" s="501"/>
    </row>
    <row r="145" spans="2:6" ht="15.75" customHeight="1">
      <c r="B145" s="418" t="s">
        <v>487</v>
      </c>
      <c r="C145" s="469"/>
      <c r="D145" s="504">
        <f>ROUND('[4]CF-Working1'!V151/1000,0)</f>
        <v>17500</v>
      </c>
      <c r="E145" s="525">
        <v>163844</v>
      </c>
      <c r="F145" s="504">
        <f>ROUND('[4]CF-workingTCH'!X147/1000,0)</f>
        <v>17500</v>
      </c>
    </row>
    <row r="146" spans="2:6" ht="15.75" customHeight="1">
      <c r="B146" s="418" t="s">
        <v>83</v>
      </c>
      <c r="C146" s="469"/>
      <c r="D146" s="441">
        <f>ROUND('[4]CF-Working1'!X221/1000,0)</f>
        <v>-10728</v>
      </c>
      <c r="E146" s="442">
        <v>-1971</v>
      </c>
      <c r="F146" s="441">
        <f>ROUND(('[4]CF-workingTCH'!X128+'[4]CF-workingTCH'!X196)/1000,0)+1</f>
        <v>-3138</v>
      </c>
    </row>
    <row r="147" spans="2:6" ht="15.75" customHeight="1">
      <c r="B147" s="418" t="s">
        <v>19</v>
      </c>
      <c r="C147" s="469"/>
      <c r="D147" s="458">
        <f>D27</f>
        <v>-3752</v>
      </c>
      <c r="E147" s="459">
        <v>-1101</v>
      </c>
      <c r="F147" s="458">
        <f>ROUND('[4]SAP&amp;L'!B38/1000,0)</f>
        <v>-2981</v>
      </c>
    </row>
    <row r="148" spans="2:5" ht="15.75" customHeight="1">
      <c r="B148" s="418"/>
      <c r="C148" s="469"/>
      <c r="D148" s="500"/>
      <c r="E148" s="501"/>
    </row>
    <row r="149" spans="2:6" ht="12.75">
      <c r="B149" s="417" t="s">
        <v>96</v>
      </c>
      <c r="D149" s="104">
        <f>SUM(D143:D148)</f>
        <v>3020</v>
      </c>
      <c r="E149" s="104">
        <f>SUM(E143:E148)</f>
        <v>160772</v>
      </c>
      <c r="F149" s="104">
        <f>SUM(F143:F148)</f>
        <v>11381</v>
      </c>
    </row>
    <row r="150" spans="2:4" ht="12.75">
      <c r="B150" s="418"/>
      <c r="D150" s="102"/>
    </row>
    <row r="151" spans="2:6" ht="12.75">
      <c r="B151" s="417" t="s">
        <v>97</v>
      </c>
      <c r="D151" s="105">
        <f>D149+D141+D133</f>
        <v>-13824</v>
      </c>
      <c r="E151" s="105">
        <f>E149+E141+E133</f>
        <v>53496</v>
      </c>
      <c r="F151" s="105">
        <f>F149+F141+F133</f>
        <v>-10186</v>
      </c>
    </row>
    <row r="152" ht="12.75">
      <c r="B152" s="418"/>
    </row>
    <row r="153" spans="2:6" ht="12.75">
      <c r="B153" s="417" t="s">
        <v>84</v>
      </c>
      <c r="D153" s="504">
        <v>29837</v>
      </c>
      <c r="E153" s="525">
        <v>8707</v>
      </c>
      <c r="F153" s="504">
        <f>ROUND('[4]CF-workingTCH'!Z205/1000,0)</f>
        <v>25071</v>
      </c>
    </row>
    <row r="154" spans="2:6" ht="12.75">
      <c r="B154" s="417" t="s">
        <v>85</v>
      </c>
      <c r="D154" s="458">
        <v>-937</v>
      </c>
      <c r="E154" s="459">
        <v>688</v>
      </c>
      <c r="F154" s="458">
        <v>0</v>
      </c>
    </row>
    <row r="155" spans="2:6" ht="12.75">
      <c r="B155" s="417"/>
      <c r="D155" s="106">
        <f>SUM(D153:D154)</f>
        <v>28900</v>
      </c>
      <c r="E155" s="106">
        <f>SUM(E153:E154)</f>
        <v>9395</v>
      </c>
      <c r="F155" s="106">
        <f>SUM(F153:F154)</f>
        <v>25071</v>
      </c>
    </row>
    <row r="156" spans="2:5" ht="12.75">
      <c r="B156" s="417"/>
      <c r="E156" s="484"/>
    </row>
    <row r="157" spans="2:5" ht="12.75">
      <c r="B157" s="418"/>
      <c r="E157" s="484"/>
    </row>
    <row r="158" spans="2:6" ht="13.5" thickBot="1">
      <c r="B158" s="417" t="s">
        <v>80</v>
      </c>
      <c r="D158" s="108">
        <f>D151+D155</f>
        <v>15076</v>
      </c>
      <c r="E158" s="108">
        <f>E151+E155</f>
        <v>62891</v>
      </c>
      <c r="F158" s="108">
        <f>F151+F155</f>
        <v>14885</v>
      </c>
    </row>
    <row r="159" ht="13.5" thickTop="1">
      <c r="B159" s="419"/>
    </row>
    <row r="160" ht="12.75">
      <c r="B160" s="419"/>
    </row>
    <row r="161" ht="12.75">
      <c r="B161" s="417" t="s">
        <v>72</v>
      </c>
    </row>
    <row r="162" ht="12.75">
      <c r="B162" s="419"/>
    </row>
    <row r="163" spans="2:6" ht="12.75">
      <c r="B163" s="420" t="s">
        <v>46</v>
      </c>
      <c r="D163" s="484">
        <f>D71</f>
        <v>6789</v>
      </c>
      <c r="E163" s="484">
        <f>E71</f>
        <v>13597</v>
      </c>
      <c r="F163" s="195">
        <f>ROUND('[4]SABS'!B32/1000,0)</f>
        <v>550</v>
      </c>
    </row>
    <row r="164" spans="2:6" ht="12.75">
      <c r="B164" s="420" t="s">
        <v>45</v>
      </c>
      <c r="D164" s="484">
        <f>D70</f>
        <v>14336</v>
      </c>
      <c r="E164" s="484">
        <f>E70</f>
        <v>22227</v>
      </c>
      <c r="F164" s="195">
        <f>ROUND('[4]SABS'!B31/1000,0)</f>
        <v>14336</v>
      </c>
    </row>
    <row r="165" spans="2:6" ht="12.75">
      <c r="B165" s="420" t="s">
        <v>25</v>
      </c>
      <c r="D165" s="484">
        <f>ROUND('[4]SABS'!S46/1000,0)</f>
        <v>-6050</v>
      </c>
      <c r="E165" s="484">
        <v>-2340</v>
      </c>
      <c r="F165" s="195">
        <f>ROUND('[4]SABS'!B46/1000,0)</f>
        <v>0</v>
      </c>
    </row>
    <row r="166" spans="2:6" ht="12.75">
      <c r="B166" s="419"/>
      <c r="E166" s="484"/>
      <c r="F166" s="195"/>
    </row>
    <row r="167" spans="2:6" ht="12.75">
      <c r="B167" s="419"/>
      <c r="D167" s="526">
        <f>SUM(D163:D166)</f>
        <v>15075</v>
      </c>
      <c r="E167" s="526">
        <f>SUM(E163:E166)</f>
        <v>33484</v>
      </c>
      <c r="F167" s="526">
        <f>SUM(F163:F166)</f>
        <v>14886</v>
      </c>
    </row>
    <row r="168" ht="12.75">
      <c r="B168" s="419"/>
    </row>
    <row r="169" ht="12.75">
      <c r="B169" s="419"/>
    </row>
    <row r="170" spans="2:5" ht="12.75">
      <c r="B170" s="551" t="s">
        <v>33</v>
      </c>
      <c r="C170" s="583"/>
      <c r="D170" s="557" t="s">
        <v>488</v>
      </c>
      <c r="E170" s="557"/>
    </row>
    <row r="171" spans="2:5" ht="12.75">
      <c r="B171" s="584"/>
      <c r="C171" s="585"/>
      <c r="D171" s="457" t="s">
        <v>489</v>
      </c>
      <c r="E171" s="457" t="s">
        <v>490</v>
      </c>
    </row>
    <row r="172" spans="2:5" ht="12.75">
      <c r="B172" s="460" t="s">
        <v>34</v>
      </c>
      <c r="C172" s="461"/>
      <c r="D172" s="441"/>
      <c r="E172" s="442"/>
    </row>
    <row r="173" spans="2:5" ht="12.75">
      <c r="B173" s="462" t="s">
        <v>491</v>
      </c>
      <c r="C173" s="463"/>
      <c r="D173" s="441"/>
      <c r="E173" s="442"/>
    </row>
    <row r="174" spans="2:5" ht="12.75">
      <c r="B174" s="462" t="s">
        <v>440</v>
      </c>
      <c r="C174" s="463" t="s">
        <v>492</v>
      </c>
      <c r="D174" s="441"/>
      <c r="E174" s="442"/>
    </row>
    <row r="175" spans="2:5" ht="12.75">
      <c r="B175" s="462"/>
      <c r="C175" s="463" t="s">
        <v>493</v>
      </c>
      <c r="D175" s="441">
        <f>ROUND((-'[4]CF-working2'!B371-'[4]CF-working2'!H371-'[4]CF-working2'!J372-'[4]CF-working2'!J378)/1000,0)</f>
        <v>965</v>
      </c>
      <c r="E175" s="442">
        <v>488</v>
      </c>
    </row>
    <row r="176" spans="2:5" ht="12.75">
      <c r="B176" s="462"/>
      <c r="C176" s="463" t="s">
        <v>494</v>
      </c>
      <c r="D176" s="441">
        <f>ROUND((-'[4]CF-working2'!C371-'[4]CF-working2'!D371-'[4]CF-working2'!E371-'[4]CF-working2'!F371-'[4]CF-working2'!G371-'[4]CF-working2'!I371)/1000,0)-1</f>
        <v>152</v>
      </c>
      <c r="E176" s="442">
        <v>0</v>
      </c>
    </row>
    <row r="177" spans="2:5" ht="12.75">
      <c r="B177" s="464" t="s">
        <v>440</v>
      </c>
      <c r="C177" s="463" t="s">
        <v>495</v>
      </c>
      <c r="D177" s="441">
        <f>ROUND('[4]CF-working2'!J372/1000,0)</f>
        <v>-72</v>
      </c>
      <c r="E177" s="442">
        <v>847</v>
      </c>
    </row>
    <row r="178" spans="2:5" ht="12.75">
      <c r="B178" s="464" t="s">
        <v>440</v>
      </c>
      <c r="C178" s="463" t="s">
        <v>496</v>
      </c>
      <c r="D178" s="441"/>
      <c r="E178" s="442"/>
    </row>
    <row r="179" spans="2:5" ht="12.75">
      <c r="B179" s="464" t="s">
        <v>440</v>
      </c>
      <c r="C179" s="463" t="s">
        <v>497</v>
      </c>
      <c r="D179" s="458">
        <f>ROUND(('[4]CF-working2'!B384-'[4]CF-working2'!C384-'[4]CF-working2'!D384-'[4]CF-working2'!E384-'[4]CF-working2'!F384-'[4]CF-working2'!G384-'[4]CF-working2'!H384-'[4]CF-working2'!I384)/1000,0)</f>
        <v>0</v>
      </c>
      <c r="E179" s="459">
        <v>0</v>
      </c>
    </row>
    <row r="180" spans="2:5" ht="12.75">
      <c r="B180" s="462"/>
      <c r="C180" s="463"/>
      <c r="D180" s="441">
        <f>SUM(D175:D179)</f>
        <v>1045</v>
      </c>
      <c r="E180" s="441">
        <f>SUM(E175:E179)</f>
        <v>1335</v>
      </c>
    </row>
    <row r="181" spans="2:5" ht="12.75">
      <c r="B181" s="462"/>
      <c r="C181" s="463" t="s">
        <v>498</v>
      </c>
      <c r="D181" s="458">
        <f>ROUND('[4]CF-working2'!J378/1000,0)</f>
        <v>11</v>
      </c>
      <c r="E181" s="459">
        <v>0</v>
      </c>
    </row>
    <row r="182" spans="2:5" ht="12.75">
      <c r="B182" s="465"/>
      <c r="C182" s="466"/>
      <c r="D182" s="467">
        <f>SUM(D180:D181)</f>
        <v>1056</v>
      </c>
      <c r="E182" s="467">
        <f>SUM(E180:E181)</f>
        <v>1335</v>
      </c>
    </row>
    <row r="185" ht="12.75">
      <c r="B185" s="527" t="s">
        <v>523</v>
      </c>
    </row>
    <row r="186" spans="2:5" ht="12.75">
      <c r="B186" s="536"/>
      <c r="C186" s="537"/>
      <c r="D186" s="586" t="s">
        <v>558</v>
      </c>
      <c r="E186" s="589" t="s">
        <v>559</v>
      </c>
    </row>
    <row r="187" spans="2:5" ht="12.75">
      <c r="B187" s="538"/>
      <c r="C187" s="539"/>
      <c r="D187" s="587"/>
      <c r="E187" s="590"/>
    </row>
    <row r="188" spans="2:5" ht="12.75">
      <c r="B188" s="540"/>
      <c r="C188" s="541"/>
      <c r="D188" s="588"/>
      <c r="E188" s="591"/>
    </row>
    <row r="189" spans="2:5" ht="12.75">
      <c r="B189" s="460" t="s">
        <v>499</v>
      </c>
      <c r="C189" s="543"/>
      <c r="D189" s="544"/>
      <c r="E189" s="544"/>
    </row>
    <row r="190" spans="2:5" ht="12.75">
      <c r="B190" s="533"/>
      <c r="C190" s="534" t="s">
        <v>500</v>
      </c>
      <c r="D190" s="441"/>
      <c r="E190" s="442"/>
    </row>
    <row r="191" spans="2:5" ht="12.75">
      <c r="B191" s="462"/>
      <c r="C191" s="463" t="s">
        <v>501</v>
      </c>
      <c r="D191" s="441">
        <f>34252+778</f>
        <v>35030</v>
      </c>
      <c r="E191" s="442">
        <v>34034</v>
      </c>
    </row>
    <row r="192" spans="2:5" ht="12.75">
      <c r="B192" s="462"/>
      <c r="C192" s="463" t="s">
        <v>502</v>
      </c>
      <c r="D192" s="441">
        <v>16498</v>
      </c>
      <c r="E192" s="442">
        <v>20217</v>
      </c>
    </row>
    <row r="193" spans="2:5" ht="12.75">
      <c r="B193" s="462"/>
      <c r="C193" s="463" t="s">
        <v>503</v>
      </c>
      <c r="D193" s="441">
        <v>486</v>
      </c>
      <c r="E193" s="442">
        <v>0</v>
      </c>
    </row>
    <row r="194" spans="2:5" ht="12.75">
      <c r="B194" s="462"/>
      <c r="C194" s="463" t="s">
        <v>504</v>
      </c>
      <c r="D194" s="441">
        <f>746+39</f>
        <v>785</v>
      </c>
      <c r="E194" s="442">
        <v>37</v>
      </c>
    </row>
    <row r="195" spans="2:5" ht="12.75">
      <c r="B195" s="462"/>
      <c r="C195" s="463" t="s">
        <v>505</v>
      </c>
      <c r="D195" s="441">
        <v>0</v>
      </c>
      <c r="E195" s="442">
        <v>0</v>
      </c>
    </row>
    <row r="196" spans="2:5" ht="12.75">
      <c r="B196" s="462"/>
      <c r="C196" s="463" t="s">
        <v>506</v>
      </c>
      <c r="D196" s="441">
        <f>ROUND(('[4]borrowing'!K10+'[4]borrowing'!K15)/1000,0)</f>
        <v>11599</v>
      </c>
      <c r="E196" s="442">
        <v>0</v>
      </c>
    </row>
    <row r="197" spans="2:5" ht="12.75">
      <c r="B197" s="462"/>
      <c r="C197" s="463"/>
      <c r="D197" s="441"/>
      <c r="E197" s="442">
        <v>19511</v>
      </c>
    </row>
    <row r="198" spans="2:7" s="527" customFormat="1" ht="12.75">
      <c r="B198" s="533"/>
      <c r="C198" s="534"/>
      <c r="D198" s="444">
        <f>SUM(D191:D197)</f>
        <v>64398</v>
      </c>
      <c r="E198" s="444">
        <f>SUM(E191:E197)</f>
        <v>73799</v>
      </c>
      <c r="F198" s="527" t="str">
        <f>IF(D198-D82=0,"OK","Check")</f>
        <v>OK</v>
      </c>
      <c r="G198" s="527" t="str">
        <f>IF(E198-E82=0,"OK","Check")</f>
        <v>OK</v>
      </c>
    </row>
    <row r="199" spans="2:5" ht="12.75">
      <c r="B199" s="533" t="s">
        <v>507</v>
      </c>
      <c r="C199" s="534"/>
      <c r="D199" s="441"/>
      <c r="E199" s="442"/>
    </row>
    <row r="200" spans="2:5" ht="12.75">
      <c r="B200" s="533"/>
      <c r="C200" s="534" t="s">
        <v>508</v>
      </c>
      <c r="D200" s="441"/>
      <c r="E200" s="442"/>
    </row>
    <row r="201" spans="2:5" ht="12.75">
      <c r="B201" s="462"/>
      <c r="C201" s="463" t="s">
        <v>501</v>
      </c>
      <c r="D201" s="441">
        <f>ROUND('[4]borrowing'!K24/1000,0)</f>
        <v>80000</v>
      </c>
      <c r="E201" s="442">
        <v>80000</v>
      </c>
    </row>
    <row r="202" spans="2:5" ht="12.75">
      <c r="B202" s="462"/>
      <c r="C202" s="534" t="s">
        <v>500</v>
      </c>
      <c r="D202" s="441"/>
      <c r="E202" s="442"/>
    </row>
    <row r="203" spans="2:5" ht="12.75">
      <c r="B203" s="462"/>
      <c r="C203" s="463" t="s">
        <v>501</v>
      </c>
      <c r="D203" s="441">
        <f>ROUND('[4]borrowing'!K27/1000,0)</f>
        <v>272</v>
      </c>
      <c r="E203" s="442">
        <v>447</v>
      </c>
    </row>
    <row r="204" spans="2:5" ht="12.75">
      <c r="B204" s="462"/>
      <c r="C204" s="463" t="s">
        <v>504</v>
      </c>
      <c r="D204" s="441">
        <v>98</v>
      </c>
      <c r="E204" s="442">
        <v>299</v>
      </c>
    </row>
    <row r="205" spans="2:5" ht="12.75">
      <c r="B205" s="462"/>
      <c r="C205" s="463"/>
      <c r="D205" s="441"/>
      <c r="E205" s="442"/>
    </row>
    <row r="206" spans="2:7" s="527" customFormat="1" ht="12.75">
      <c r="B206" s="542"/>
      <c r="C206" s="535"/>
      <c r="D206" s="444">
        <f>SUM(D201:D205)</f>
        <v>80370</v>
      </c>
      <c r="E206" s="444">
        <f>SUM(E201:E205)</f>
        <v>80746</v>
      </c>
      <c r="F206" s="527" t="str">
        <f>IF(D206-D110=0,"OK","Check")</f>
        <v>OK</v>
      </c>
      <c r="G206" s="527" t="str">
        <f>IF(E206-E110=0,"OK","Check")</f>
        <v>OK</v>
      </c>
    </row>
    <row r="207" spans="2:5" s="527" customFormat="1" ht="12.75">
      <c r="B207" s="533"/>
      <c r="C207" s="534"/>
      <c r="D207" s="445"/>
      <c r="E207" s="545"/>
    </row>
    <row r="208" spans="2:5" s="527" customFormat="1" ht="13.5" thickBot="1">
      <c r="B208" s="542"/>
      <c r="C208" s="535"/>
      <c r="D208" s="546">
        <f>D206+D198</f>
        <v>144768</v>
      </c>
      <c r="E208" s="547">
        <f>E206+E198</f>
        <v>154545</v>
      </c>
    </row>
    <row r="209" ht="13.5" thickTop="1"/>
    <row r="210" ht="12.75">
      <c r="B210" s="528"/>
    </row>
    <row r="212" ht="12.75">
      <c r="B212" s="472" t="s">
        <v>509</v>
      </c>
    </row>
    <row r="213" spans="2:5" ht="12.75">
      <c r="B213" s="472" t="s">
        <v>510</v>
      </c>
      <c r="D213" s="484">
        <v>37081</v>
      </c>
      <c r="E213" s="508">
        <f>17300+11400+11400+873</f>
        <v>40973</v>
      </c>
    </row>
    <row r="217" ht="12.75">
      <c r="B217" s="474"/>
    </row>
    <row r="218" ht="12.75">
      <c r="B218" s="529" t="s">
        <v>511</v>
      </c>
    </row>
    <row r="219" ht="12.75">
      <c r="B219" s="474" t="s">
        <v>512</v>
      </c>
    </row>
    <row r="220" ht="12.75">
      <c r="B220" s="474"/>
    </row>
    <row r="221" spans="3:7" ht="12.75">
      <c r="C221" s="555" t="s">
        <v>554</v>
      </c>
      <c r="D221" s="436" t="s">
        <v>513</v>
      </c>
      <c r="E221" s="436" t="s">
        <v>514</v>
      </c>
      <c r="F221" s="436" t="s">
        <v>441</v>
      </c>
      <c r="G221" s="436" t="s">
        <v>442</v>
      </c>
    </row>
    <row r="222" spans="3:7" ht="12.75">
      <c r="C222" s="550"/>
      <c r="D222" s="437" t="s">
        <v>515</v>
      </c>
      <c r="E222" s="437"/>
      <c r="F222" s="437"/>
      <c r="G222" s="437"/>
    </row>
    <row r="223" spans="3:7" s="530" customFormat="1" ht="12.75">
      <c r="C223" s="438" t="s">
        <v>11</v>
      </c>
      <c r="D223" s="439"/>
      <c r="E223" s="439"/>
      <c r="F223" s="439"/>
      <c r="G223" s="439"/>
    </row>
    <row r="224" spans="3:9" ht="12.75">
      <c r="C224" s="440" t="s">
        <v>443</v>
      </c>
      <c r="D224" s="441">
        <f>ROUND('[4]Segmental Ind'!K11/1000,3)+3366</f>
        <v>132703.843</v>
      </c>
      <c r="E224" s="442">
        <f>ROUND('[4]Segmental Ind'!P11/1000,0)</f>
        <v>29592</v>
      </c>
      <c r="F224" s="440"/>
      <c r="G224" s="442">
        <f>ROUND((E224+D224),0)</f>
        <v>162296</v>
      </c>
      <c r="I224" s="531"/>
    </row>
    <row r="225" spans="3:9" ht="12.75">
      <c r="C225" s="440" t="s">
        <v>516</v>
      </c>
      <c r="D225" s="441">
        <f>ROUND('[4]Segmental Ind'!K12/1000,3)</f>
        <v>20428.786</v>
      </c>
      <c r="E225" s="442">
        <f>ROUND('[4]Segmental Ind'!P12/1000,0)</f>
        <v>607</v>
      </c>
      <c r="F225" s="179">
        <f>ROUND('[4]Segmental Ind'!R12/1000,0)</f>
        <v>-21036</v>
      </c>
      <c r="G225" s="442">
        <f>ROUND((E225+D225+F225),0)</f>
        <v>0</v>
      </c>
      <c r="I225" s="531"/>
    </row>
    <row r="226" spans="3:9" s="527" customFormat="1" ht="12.75">
      <c r="C226" s="443" t="s">
        <v>444</v>
      </c>
      <c r="D226" s="444">
        <f>SUM(D224:D225)</f>
        <v>153132.629</v>
      </c>
      <c r="E226" s="444">
        <f>SUM(E224:E225)</f>
        <v>30199</v>
      </c>
      <c r="F226" s="444">
        <f>SUM(F224:F225)</f>
        <v>-21036</v>
      </c>
      <c r="G226" s="444">
        <f>SUM(G224:G225)</f>
        <v>162296</v>
      </c>
      <c r="H226" s="527" t="str">
        <f>IF(G226-D10=0,"OK","Check")</f>
        <v>OK</v>
      </c>
      <c r="I226" s="532"/>
    </row>
    <row r="227" spans="3:7" ht="12.75">
      <c r="C227" s="440"/>
      <c r="D227" s="441"/>
      <c r="E227" s="442"/>
      <c r="F227" s="440"/>
      <c r="G227" s="440"/>
    </row>
    <row r="228" spans="3:7" ht="12.75">
      <c r="C228" s="440" t="s">
        <v>517</v>
      </c>
      <c r="D228" s="441">
        <f>ROUND('[4]Segmental Ind'!K23/1000,0)</f>
        <v>-294</v>
      </c>
      <c r="E228" s="442">
        <f>ROUND('[4]Segmental Ind'!P23/1000,0)</f>
        <v>-134</v>
      </c>
      <c r="F228" s="179">
        <f>ROUND(SUM('[4]Segmental Ind'!R18:R22)/1000,0)</f>
        <v>-201</v>
      </c>
      <c r="G228" s="442">
        <f>D228+E228+F228</f>
        <v>-629</v>
      </c>
    </row>
    <row r="229" spans="3:7" ht="12.75">
      <c r="C229" s="440" t="s">
        <v>445</v>
      </c>
      <c r="D229" s="441"/>
      <c r="E229" s="442"/>
      <c r="F229" s="440"/>
      <c r="G229" s="179">
        <f>ROUND('[4]Segmental Ind'!T24/1000,0)+1</f>
        <v>-656</v>
      </c>
    </row>
    <row r="230" spans="3:7" s="527" customFormat="1" ht="12.75">
      <c r="C230" s="443" t="s">
        <v>575</v>
      </c>
      <c r="D230" s="445"/>
      <c r="E230" s="446"/>
      <c r="F230" s="443"/>
      <c r="G230" s="446">
        <f>SUM(G228:G229)</f>
        <v>-1285</v>
      </c>
    </row>
    <row r="231" spans="3:8" ht="12.75">
      <c r="C231" s="440" t="s">
        <v>417</v>
      </c>
      <c r="D231" s="441"/>
      <c r="E231" s="442"/>
      <c r="F231" s="440"/>
      <c r="G231" s="440">
        <f>ROUND('[4]Segmental Ind'!T25/1000,0)</f>
        <v>140</v>
      </c>
      <c r="H231" s="472" t="str">
        <f>IF(G231-D26=0,"OK","Check")</f>
        <v>OK</v>
      </c>
    </row>
    <row r="232" spans="3:8" ht="12.75">
      <c r="C232" s="440" t="s">
        <v>518</v>
      </c>
      <c r="D232" s="441"/>
      <c r="E232" s="442"/>
      <c r="F232" s="440"/>
      <c r="G232" s="179">
        <f>ROUND('[4]Segmental Ind'!T26/1000,0)+1</f>
        <v>-3753</v>
      </c>
      <c r="H232" s="472" t="str">
        <f>IF(G232-D27=0,"OK","Check")</f>
        <v>Check</v>
      </c>
    </row>
    <row r="233" spans="3:8" ht="12.75">
      <c r="C233" s="440" t="s">
        <v>519</v>
      </c>
      <c r="D233" s="441"/>
      <c r="E233" s="442"/>
      <c r="F233" s="440"/>
      <c r="G233" s="179">
        <f>ROUND('[4]Segmental Ind'!T27/1000,0)</f>
        <v>-2</v>
      </c>
      <c r="H233" s="472" t="str">
        <f>IF(G233-D31=0,"OK","Check")</f>
        <v>OK</v>
      </c>
    </row>
    <row r="234" spans="3:7" s="527" customFormat="1" ht="12.75">
      <c r="C234" s="443" t="s">
        <v>576</v>
      </c>
      <c r="D234" s="445"/>
      <c r="E234" s="446"/>
      <c r="F234" s="443"/>
      <c r="G234" s="446">
        <f>SUM(G230:G233)</f>
        <v>-4900</v>
      </c>
    </row>
    <row r="235" spans="3:8" ht="12.75">
      <c r="C235" s="440" t="s">
        <v>34</v>
      </c>
      <c r="D235" s="441"/>
      <c r="E235" s="442"/>
      <c r="F235" s="440"/>
      <c r="G235" s="179">
        <f>ROUND('[4]Segmental Ind'!T29/1000,0)</f>
        <v>-1056</v>
      </c>
      <c r="H235" s="472" t="str">
        <f>IF(G235-D35=0,"OK","Check")</f>
        <v>OK</v>
      </c>
    </row>
    <row r="236" spans="3:7" s="527" customFormat="1" ht="12.75">
      <c r="C236" s="443" t="s">
        <v>577</v>
      </c>
      <c r="D236" s="445"/>
      <c r="E236" s="446"/>
      <c r="F236" s="443"/>
      <c r="G236" s="446">
        <f>SUM(G234:G235)</f>
        <v>-5956</v>
      </c>
    </row>
    <row r="237" spans="3:7" ht="12.75">
      <c r="C237" s="440" t="s">
        <v>22</v>
      </c>
      <c r="D237" s="441"/>
      <c r="E237" s="442"/>
      <c r="F237" s="440"/>
      <c r="G237" s="440"/>
    </row>
    <row r="238" spans="3:8" s="527" customFormat="1" ht="12.75">
      <c r="C238" s="447" t="s">
        <v>578</v>
      </c>
      <c r="D238" s="448"/>
      <c r="E238" s="449"/>
      <c r="F238" s="447"/>
      <c r="G238" s="449">
        <f>SUM(G236:G237)</f>
        <v>-5956</v>
      </c>
      <c r="H238" s="527" t="str">
        <f>IF(G238-D41=0,"OK","Check")</f>
        <v>OK</v>
      </c>
    </row>
    <row r="241" spans="3:7" ht="12.75">
      <c r="C241" s="555" t="s">
        <v>574</v>
      </c>
      <c r="D241" s="436" t="s">
        <v>513</v>
      </c>
      <c r="E241" s="436" t="s">
        <v>514</v>
      </c>
      <c r="F241" s="436" t="s">
        <v>441</v>
      </c>
      <c r="G241" s="436" t="s">
        <v>442</v>
      </c>
    </row>
    <row r="242" spans="3:7" ht="12.75">
      <c r="C242" s="550"/>
      <c r="D242" s="437" t="s">
        <v>515</v>
      </c>
      <c r="E242" s="437"/>
      <c r="F242" s="437"/>
      <c r="G242" s="437"/>
    </row>
    <row r="243" spans="3:7" ht="12.75">
      <c r="C243" s="438" t="s">
        <v>11</v>
      </c>
      <c r="D243" s="439"/>
      <c r="E243" s="439"/>
      <c r="F243" s="439"/>
      <c r="G243" s="439"/>
    </row>
    <row r="244" spans="3:7" ht="12.75">
      <c r="C244" s="440" t="s">
        <v>443</v>
      </c>
      <c r="D244" s="441">
        <f>+D306+D326-18</f>
        <v>80267</v>
      </c>
      <c r="E244" s="441">
        <f aca="true" t="shared" si="0" ref="D244:F245">+E306+E326</f>
        <v>30265</v>
      </c>
      <c r="F244" s="441">
        <f t="shared" si="0"/>
        <v>0</v>
      </c>
      <c r="G244" s="442">
        <f>SUM(D244:F244)</f>
        <v>110532</v>
      </c>
    </row>
    <row r="245" spans="3:7" ht="12.75">
      <c r="C245" s="440" t="s">
        <v>516</v>
      </c>
      <c r="D245" s="441">
        <f t="shared" si="0"/>
        <v>8311</v>
      </c>
      <c r="E245" s="441">
        <f t="shared" si="0"/>
        <v>0</v>
      </c>
      <c r="F245" s="441">
        <f t="shared" si="0"/>
        <v>-8311</v>
      </c>
      <c r="G245" s="442">
        <f>ROUND((E245+D245+F245),0)</f>
        <v>0</v>
      </c>
    </row>
    <row r="246" spans="3:7" ht="12.75">
      <c r="C246" s="443" t="s">
        <v>444</v>
      </c>
      <c r="D246" s="444">
        <f>SUM(D244:D245)</f>
        <v>88578</v>
      </c>
      <c r="E246" s="444">
        <f>SUM(E244:E245)</f>
        <v>30265</v>
      </c>
      <c r="F246" s="444">
        <f>SUM(F244:F245)</f>
        <v>-8311</v>
      </c>
      <c r="G246" s="444">
        <f>SUM(G244:G245)</f>
        <v>110532</v>
      </c>
    </row>
    <row r="247" spans="3:7" ht="12.75">
      <c r="C247" s="440"/>
      <c r="D247" s="441"/>
      <c r="E247" s="442"/>
      <c r="F247" s="440"/>
      <c r="G247" s="440"/>
    </row>
    <row r="248" spans="3:7" ht="12.75">
      <c r="C248" s="440" t="s">
        <v>517</v>
      </c>
      <c r="D248" s="441">
        <f>+D310+D330</f>
        <v>3358</v>
      </c>
      <c r="E248" s="441">
        <f>+E310+E330</f>
        <v>557</v>
      </c>
      <c r="F248" s="441">
        <f>+F310+F330</f>
        <v>574</v>
      </c>
      <c r="G248" s="442">
        <f>D248+E248+F248</f>
        <v>4489</v>
      </c>
    </row>
    <row r="249" spans="3:7" ht="12.75">
      <c r="C249" s="440" t="s">
        <v>445</v>
      </c>
      <c r="D249" s="441"/>
      <c r="E249" s="442"/>
      <c r="F249" s="440"/>
      <c r="G249" s="441">
        <f>+G311+G331</f>
        <v>-657</v>
      </c>
    </row>
    <row r="250" spans="3:7" ht="12.75">
      <c r="C250" s="443" t="s">
        <v>575</v>
      </c>
      <c r="D250" s="445"/>
      <c r="E250" s="446"/>
      <c r="F250" s="443"/>
      <c r="G250" s="446">
        <f>SUM(G248:G249)</f>
        <v>3832</v>
      </c>
    </row>
    <row r="251" spans="3:7" ht="12.75">
      <c r="C251" s="440" t="s">
        <v>417</v>
      </c>
      <c r="D251" s="441"/>
      <c r="E251" s="442"/>
      <c r="F251" s="440"/>
      <c r="G251" s="441">
        <f>+G313+G333</f>
        <v>144</v>
      </c>
    </row>
    <row r="252" spans="3:7" ht="12.75">
      <c r="C252" s="440" t="s">
        <v>518</v>
      </c>
      <c r="D252" s="441"/>
      <c r="E252" s="442"/>
      <c r="F252" s="440"/>
      <c r="G252" s="441">
        <f>+G314+G334</f>
        <v>-2377</v>
      </c>
    </row>
    <row r="253" spans="3:7" ht="12.75">
      <c r="C253" s="440" t="s">
        <v>519</v>
      </c>
      <c r="D253" s="441"/>
      <c r="E253" s="442"/>
      <c r="F253" s="440"/>
      <c r="G253" s="441">
        <f>+G315+G335</f>
        <v>-11</v>
      </c>
    </row>
    <row r="254" spans="3:7" ht="12.75">
      <c r="C254" s="443" t="s">
        <v>576</v>
      </c>
      <c r="D254" s="445"/>
      <c r="E254" s="446"/>
      <c r="F254" s="443"/>
      <c r="G254" s="446">
        <f>SUM(G250:G253)</f>
        <v>1588</v>
      </c>
    </row>
    <row r="255" spans="3:7" ht="12.75">
      <c r="C255" s="440" t="s">
        <v>34</v>
      </c>
      <c r="D255" s="441"/>
      <c r="E255" s="442"/>
      <c r="F255" s="440"/>
      <c r="G255" s="441">
        <f>+G317+G337</f>
        <v>-1335</v>
      </c>
    </row>
    <row r="256" spans="3:7" ht="12.75">
      <c r="C256" s="443" t="s">
        <v>521</v>
      </c>
      <c r="D256" s="445"/>
      <c r="E256" s="446"/>
      <c r="F256" s="443"/>
      <c r="G256" s="446">
        <f>SUM(G254:G255)</f>
        <v>253</v>
      </c>
    </row>
    <row r="257" spans="3:7" ht="12.75">
      <c r="C257" s="440" t="s">
        <v>22</v>
      </c>
      <c r="D257" s="441"/>
      <c r="E257" s="442"/>
      <c r="F257" s="440"/>
      <c r="G257" s="440"/>
    </row>
    <row r="258" spans="3:7" ht="12.75">
      <c r="C258" s="447" t="s">
        <v>522</v>
      </c>
      <c r="D258" s="448"/>
      <c r="E258" s="449"/>
      <c r="F258" s="447"/>
      <c r="G258" s="449">
        <f>SUM(G256:G257)</f>
        <v>253</v>
      </c>
    </row>
    <row r="264" spans="3:7" ht="12.75">
      <c r="C264" s="555" t="s">
        <v>555</v>
      </c>
      <c r="D264" s="436" t="s">
        <v>513</v>
      </c>
      <c r="E264" s="436" t="s">
        <v>514</v>
      </c>
      <c r="F264" s="436" t="s">
        <v>441</v>
      </c>
      <c r="G264" s="436" t="s">
        <v>442</v>
      </c>
    </row>
    <row r="265" spans="3:7" ht="12.75">
      <c r="C265" s="550"/>
      <c r="D265" s="437" t="s">
        <v>515</v>
      </c>
      <c r="E265" s="437"/>
      <c r="F265" s="437"/>
      <c r="G265" s="437"/>
    </row>
    <row r="266" spans="3:7" ht="12.75">
      <c r="C266" s="438" t="s">
        <v>11</v>
      </c>
      <c r="D266" s="439"/>
      <c r="E266" s="439"/>
      <c r="F266" s="439"/>
      <c r="G266" s="439"/>
    </row>
    <row r="267" spans="3:7" ht="12.75">
      <c r="C267" s="440" t="s">
        <v>443</v>
      </c>
      <c r="D267" s="441">
        <v>64816</v>
      </c>
      <c r="E267" s="442">
        <v>13882</v>
      </c>
      <c r="F267" s="440"/>
      <c r="G267" s="442">
        <f>ROUND((E267+D267),0)</f>
        <v>78698</v>
      </c>
    </row>
    <row r="268" spans="3:7" ht="12.75">
      <c r="C268" s="440" t="s">
        <v>516</v>
      </c>
      <c r="D268" s="441">
        <v>8186</v>
      </c>
      <c r="E268" s="442">
        <v>231</v>
      </c>
      <c r="F268" s="179">
        <v>-8417</v>
      </c>
      <c r="G268" s="442">
        <f>ROUND((E268+D268+F268),0)</f>
        <v>0</v>
      </c>
    </row>
    <row r="269" spans="3:7" ht="12.75">
      <c r="C269" s="443" t="s">
        <v>444</v>
      </c>
      <c r="D269" s="444">
        <f>SUM(D267:D268)</f>
        <v>73002</v>
      </c>
      <c r="E269" s="444">
        <f>SUM(E267:E268)</f>
        <v>14113</v>
      </c>
      <c r="F269" s="444">
        <f>SUM(F267:F268)</f>
        <v>-8417</v>
      </c>
      <c r="G269" s="444">
        <f>SUM(G267:G268)</f>
        <v>78698</v>
      </c>
    </row>
    <row r="270" spans="3:7" ht="12.75">
      <c r="C270" s="440"/>
      <c r="D270" s="441"/>
      <c r="E270" s="442"/>
      <c r="F270" s="440"/>
      <c r="G270" s="440"/>
    </row>
    <row r="271" spans="3:7" ht="12.75">
      <c r="C271" s="440" t="s">
        <v>517</v>
      </c>
      <c r="D271" s="441">
        <v>5800</v>
      </c>
      <c r="E271" s="442">
        <v>-48</v>
      </c>
      <c r="F271" s="179">
        <v>-78</v>
      </c>
      <c r="G271" s="442">
        <f>D271+E271+F271</f>
        <v>5674</v>
      </c>
    </row>
    <row r="272" spans="3:7" ht="12.75">
      <c r="C272" s="440" t="s">
        <v>445</v>
      </c>
      <c r="D272" s="441"/>
      <c r="E272" s="442"/>
      <c r="F272" s="440"/>
      <c r="G272" s="179">
        <v>-328</v>
      </c>
    </row>
    <row r="273" spans="3:7" ht="12.75">
      <c r="C273" s="443" t="s">
        <v>446</v>
      </c>
      <c r="D273" s="445"/>
      <c r="E273" s="446"/>
      <c r="F273" s="443"/>
      <c r="G273" s="446">
        <f>SUM(G271:G272)</f>
        <v>5346</v>
      </c>
    </row>
    <row r="274" spans="3:7" ht="12.75">
      <c r="C274" s="440" t="s">
        <v>417</v>
      </c>
      <c r="D274" s="441"/>
      <c r="E274" s="442"/>
      <c r="F274" s="440"/>
      <c r="G274" s="440">
        <v>86</v>
      </c>
    </row>
    <row r="275" spans="3:7" ht="12.75">
      <c r="C275" s="440" t="s">
        <v>518</v>
      </c>
      <c r="D275" s="441"/>
      <c r="E275" s="442"/>
      <c r="F275" s="440"/>
      <c r="G275" s="179">
        <v>-1873</v>
      </c>
    </row>
    <row r="276" spans="3:7" ht="12.75">
      <c r="C276" s="440" t="s">
        <v>519</v>
      </c>
      <c r="D276" s="441"/>
      <c r="E276" s="442"/>
      <c r="F276" s="440"/>
      <c r="G276" s="179">
        <v>-29</v>
      </c>
    </row>
    <row r="277" spans="3:7" ht="12.75">
      <c r="C277" s="443" t="s">
        <v>520</v>
      </c>
      <c r="D277" s="445"/>
      <c r="E277" s="446"/>
      <c r="F277" s="443"/>
      <c r="G277" s="446">
        <f>SUM(G273:G276)</f>
        <v>3530</v>
      </c>
    </row>
    <row r="278" spans="3:7" ht="12.75">
      <c r="C278" s="440" t="s">
        <v>34</v>
      </c>
      <c r="D278" s="441"/>
      <c r="E278" s="442"/>
      <c r="F278" s="440"/>
      <c r="G278" s="179">
        <v>-1344</v>
      </c>
    </row>
    <row r="279" spans="3:7" ht="12.75">
      <c r="C279" s="443" t="s">
        <v>521</v>
      </c>
      <c r="D279" s="445"/>
      <c r="E279" s="446"/>
      <c r="F279" s="443"/>
      <c r="G279" s="446">
        <f>SUM(G277:G278)</f>
        <v>2186</v>
      </c>
    </row>
    <row r="280" spans="3:7" ht="12.75">
      <c r="C280" s="440" t="s">
        <v>22</v>
      </c>
      <c r="D280" s="441"/>
      <c r="E280" s="442"/>
      <c r="F280" s="440"/>
      <c r="G280" s="440"/>
    </row>
    <row r="281" spans="3:7" ht="12.75">
      <c r="C281" s="447" t="s">
        <v>522</v>
      </c>
      <c r="D281" s="448"/>
      <c r="E281" s="449"/>
      <c r="F281" s="447"/>
      <c r="G281" s="450">
        <f>SUM(G279:G280)</f>
        <v>2186</v>
      </c>
    </row>
    <row r="284" spans="3:7" ht="12.75">
      <c r="C284" s="555" t="s">
        <v>556</v>
      </c>
      <c r="D284" s="436" t="s">
        <v>513</v>
      </c>
      <c r="E284" s="436" t="s">
        <v>514</v>
      </c>
      <c r="F284" s="436" t="s">
        <v>441</v>
      </c>
      <c r="G284" s="436" t="s">
        <v>442</v>
      </c>
    </row>
    <row r="285" spans="3:7" ht="12.75">
      <c r="C285" s="550"/>
      <c r="D285" s="437" t="s">
        <v>515</v>
      </c>
      <c r="E285" s="437"/>
      <c r="F285" s="437"/>
      <c r="G285" s="437"/>
    </row>
    <row r="286" spans="3:7" ht="12.75">
      <c r="C286" s="438" t="s">
        <v>11</v>
      </c>
      <c r="D286" s="439"/>
      <c r="E286" s="439"/>
      <c r="F286" s="439"/>
      <c r="G286" s="439"/>
    </row>
    <row r="287" spans="3:7" ht="12.75">
      <c r="C287" s="440" t="s">
        <v>443</v>
      </c>
      <c r="D287" s="441">
        <f aca="true" t="shared" si="1" ref="D287:F288">+D224-D267</f>
        <v>67887.843</v>
      </c>
      <c r="E287" s="441">
        <f t="shared" si="1"/>
        <v>15710</v>
      </c>
      <c r="F287" s="441">
        <f t="shared" si="1"/>
        <v>0</v>
      </c>
      <c r="G287" s="442">
        <f>ROUND((E287+D287),0)</f>
        <v>83598</v>
      </c>
    </row>
    <row r="288" spans="3:7" ht="12.75">
      <c r="C288" s="440" t="s">
        <v>516</v>
      </c>
      <c r="D288" s="441">
        <f t="shared" si="1"/>
        <v>12242.786</v>
      </c>
      <c r="E288" s="441">
        <f t="shared" si="1"/>
        <v>376</v>
      </c>
      <c r="F288" s="441">
        <f t="shared" si="1"/>
        <v>-12619</v>
      </c>
      <c r="G288" s="442">
        <f>ROUND((E288+D288+F288),0)</f>
        <v>0</v>
      </c>
    </row>
    <row r="289" spans="3:7" ht="12.75">
      <c r="C289" s="443" t="s">
        <v>444</v>
      </c>
      <c r="D289" s="444">
        <f>SUM(D287:D288)</f>
        <v>80130.62899999999</v>
      </c>
      <c r="E289" s="444">
        <f>SUM(E287:E288)</f>
        <v>16086</v>
      </c>
      <c r="F289" s="444">
        <f>SUM(F287:F288)</f>
        <v>-12619</v>
      </c>
      <c r="G289" s="444">
        <f>SUM(G287:G288)</f>
        <v>83598</v>
      </c>
    </row>
    <row r="290" spans="3:7" ht="12.75">
      <c r="C290" s="440"/>
      <c r="D290" s="441"/>
      <c r="E290" s="442"/>
      <c r="F290" s="440"/>
      <c r="G290" s="440"/>
    </row>
    <row r="291" spans="3:7" ht="12.75">
      <c r="C291" s="440" t="s">
        <v>517</v>
      </c>
      <c r="D291" s="441">
        <f>+D228-D271</f>
        <v>-6094</v>
      </c>
      <c r="E291" s="441">
        <f>+E228-E271</f>
        <v>-86</v>
      </c>
      <c r="F291" s="441">
        <f>+F228-F271-1</f>
        <v>-124</v>
      </c>
      <c r="G291" s="442">
        <f>D291+E291+F291</f>
        <v>-6304</v>
      </c>
    </row>
    <row r="292" spans="3:7" ht="12.75">
      <c r="C292" s="440" t="s">
        <v>445</v>
      </c>
      <c r="D292" s="441"/>
      <c r="E292" s="442"/>
      <c r="F292" s="440"/>
      <c r="G292" s="441">
        <f>+G229-G272</f>
        <v>-328</v>
      </c>
    </row>
    <row r="293" spans="3:7" ht="12.75">
      <c r="C293" s="443" t="s">
        <v>446</v>
      </c>
      <c r="D293" s="445"/>
      <c r="E293" s="446"/>
      <c r="F293" s="443"/>
      <c r="G293" s="446">
        <f>SUM(G291:G292)</f>
        <v>-6632</v>
      </c>
    </row>
    <row r="294" spans="3:7" ht="12.75">
      <c r="C294" s="440" t="s">
        <v>417</v>
      </c>
      <c r="D294" s="441"/>
      <c r="E294" s="442"/>
      <c r="F294" s="440"/>
      <c r="G294" s="441">
        <f>+G231-G274</f>
        <v>54</v>
      </c>
    </row>
    <row r="295" spans="3:7" ht="12.75">
      <c r="C295" s="440" t="s">
        <v>518</v>
      </c>
      <c r="D295" s="441"/>
      <c r="E295" s="442"/>
      <c r="F295" s="440"/>
      <c r="G295" s="441">
        <f>+G232-G275+1</f>
        <v>-1879</v>
      </c>
    </row>
    <row r="296" spans="3:7" ht="12.75">
      <c r="C296" s="440" t="s">
        <v>519</v>
      </c>
      <c r="D296" s="441"/>
      <c r="E296" s="442"/>
      <c r="F296" s="440"/>
      <c r="G296" s="441">
        <f>+G233-G276</f>
        <v>27</v>
      </c>
    </row>
    <row r="297" spans="3:7" ht="12.75">
      <c r="C297" s="443" t="s">
        <v>520</v>
      </c>
      <c r="D297" s="445"/>
      <c r="E297" s="446"/>
      <c r="F297" s="443"/>
      <c r="G297" s="446">
        <f>SUM(G293:G296)</f>
        <v>-8430</v>
      </c>
    </row>
    <row r="298" spans="3:7" ht="12.75">
      <c r="C298" s="440" t="s">
        <v>34</v>
      </c>
      <c r="D298" s="441"/>
      <c r="E298" s="442"/>
      <c r="F298" s="440"/>
      <c r="G298" s="441">
        <f>+G235-G278</f>
        <v>288</v>
      </c>
    </row>
    <row r="299" spans="3:7" ht="12.75">
      <c r="C299" s="443" t="s">
        <v>521</v>
      </c>
      <c r="D299" s="445"/>
      <c r="E299" s="446"/>
      <c r="F299" s="443"/>
      <c r="G299" s="446">
        <f>SUM(G297:G298)</f>
        <v>-8142</v>
      </c>
    </row>
    <row r="300" spans="3:7" ht="12.75">
      <c r="C300" s="440" t="s">
        <v>22</v>
      </c>
      <c r="D300" s="441"/>
      <c r="E300" s="442"/>
      <c r="F300" s="440"/>
      <c r="G300" s="440"/>
    </row>
    <row r="301" spans="3:7" ht="12.75">
      <c r="C301" s="447" t="s">
        <v>522</v>
      </c>
      <c r="D301" s="448"/>
      <c r="E301" s="449"/>
      <c r="F301" s="447"/>
      <c r="G301" s="450">
        <f>SUM(G299:G300)</f>
        <v>-8142</v>
      </c>
    </row>
    <row r="303" spans="3:7" ht="12.75">
      <c r="C303" s="555" t="s">
        <v>553</v>
      </c>
      <c r="D303" s="436" t="s">
        <v>513</v>
      </c>
      <c r="E303" s="436" t="s">
        <v>514</v>
      </c>
      <c r="F303" s="436" t="s">
        <v>441</v>
      </c>
      <c r="G303" s="436" t="s">
        <v>442</v>
      </c>
    </row>
    <row r="304" spans="3:7" ht="12.75">
      <c r="C304" s="556"/>
      <c r="D304" s="451" t="s">
        <v>515</v>
      </c>
      <c r="E304" s="451"/>
      <c r="F304" s="451"/>
      <c r="G304" s="451"/>
    </row>
    <row r="305" spans="3:7" s="530" customFormat="1" ht="12.75">
      <c r="C305" s="438" t="s">
        <v>11</v>
      </c>
      <c r="D305" s="439"/>
      <c r="E305" s="439"/>
      <c r="F305" s="439"/>
      <c r="G305" s="439"/>
    </row>
    <row r="306" spans="3:7" ht="12.75">
      <c r="C306" s="440" t="s">
        <v>443</v>
      </c>
      <c r="D306" s="452">
        <v>38700</v>
      </c>
      <c r="E306" s="179">
        <v>16244</v>
      </c>
      <c r="F306" s="179"/>
      <c r="G306" s="442">
        <f>ROUND((E306+D306),0)</f>
        <v>54944</v>
      </c>
    </row>
    <row r="307" spans="3:7" ht="12.75">
      <c r="C307" s="440" t="s">
        <v>516</v>
      </c>
      <c r="D307" s="452">
        <v>2478</v>
      </c>
      <c r="E307" s="179">
        <v>0</v>
      </c>
      <c r="F307" s="179">
        <v>-2478</v>
      </c>
      <c r="G307" s="442">
        <f>ROUND((E307+D307+F307),0)</f>
        <v>0</v>
      </c>
    </row>
    <row r="308" spans="3:7" s="527" customFormat="1" ht="12.75">
      <c r="C308" s="443" t="s">
        <v>444</v>
      </c>
      <c r="D308" s="453">
        <f>SUM(D306:D307)</f>
        <v>41178</v>
      </c>
      <c r="E308" s="453">
        <f>SUM(E306:E307)</f>
        <v>16244</v>
      </c>
      <c r="F308" s="453">
        <f>SUM(F306:F307)</f>
        <v>-2478</v>
      </c>
      <c r="G308" s="453">
        <f>SUM(G306:G307)</f>
        <v>54944</v>
      </c>
    </row>
    <row r="309" spans="3:7" ht="12.75">
      <c r="C309" s="440"/>
      <c r="D309" s="452"/>
      <c r="E309" s="179"/>
      <c r="F309" s="179"/>
      <c r="G309" s="440"/>
    </row>
    <row r="310" spans="3:7" ht="12.75">
      <c r="C310" s="440" t="s">
        <v>517</v>
      </c>
      <c r="D310" s="452">
        <v>413</v>
      </c>
      <c r="E310" s="179">
        <v>364</v>
      </c>
      <c r="F310" s="179">
        <v>517</v>
      </c>
      <c r="G310" s="442">
        <f>D310+E310+F310</f>
        <v>1294</v>
      </c>
    </row>
    <row r="311" spans="3:7" ht="12.75">
      <c r="C311" s="440" t="s">
        <v>445</v>
      </c>
      <c r="D311" s="452"/>
      <c r="E311" s="179"/>
      <c r="F311" s="179"/>
      <c r="G311" s="179">
        <v>-329</v>
      </c>
    </row>
    <row r="312" spans="3:7" s="527" customFormat="1" ht="12.75">
      <c r="C312" s="443" t="s">
        <v>446</v>
      </c>
      <c r="D312" s="454"/>
      <c r="E312" s="455"/>
      <c r="F312" s="455"/>
      <c r="G312" s="446">
        <f>SUM(G310:G311)</f>
        <v>965</v>
      </c>
    </row>
    <row r="313" spans="3:7" ht="12.75">
      <c r="C313" s="440" t="s">
        <v>417</v>
      </c>
      <c r="D313" s="452"/>
      <c r="E313" s="179"/>
      <c r="F313" s="179"/>
      <c r="G313" s="440">
        <v>81</v>
      </c>
    </row>
    <row r="314" spans="3:7" ht="12.75">
      <c r="C314" s="440" t="s">
        <v>518</v>
      </c>
      <c r="D314" s="452"/>
      <c r="E314" s="179"/>
      <c r="F314" s="179"/>
      <c r="G314" s="179">
        <v>-1276</v>
      </c>
    </row>
    <row r="315" spans="3:7" ht="12.75">
      <c r="C315" s="440" t="s">
        <v>519</v>
      </c>
      <c r="D315" s="452"/>
      <c r="E315" s="179"/>
      <c r="F315" s="179"/>
      <c r="G315" s="179">
        <v>-11</v>
      </c>
    </row>
    <row r="316" spans="3:7" s="527" customFormat="1" ht="12.75">
      <c r="C316" s="443" t="s">
        <v>520</v>
      </c>
      <c r="D316" s="454"/>
      <c r="E316" s="455"/>
      <c r="F316" s="455"/>
      <c r="G316" s="446">
        <f>SUM(G312:G315)</f>
        <v>-241</v>
      </c>
    </row>
    <row r="317" spans="3:7" ht="12.75">
      <c r="C317" s="440" t="s">
        <v>34</v>
      </c>
      <c r="D317" s="452"/>
      <c r="E317" s="179"/>
      <c r="F317" s="179"/>
      <c r="G317" s="179">
        <v>-512</v>
      </c>
    </row>
    <row r="318" spans="3:7" ht="12.75">
      <c r="C318" s="443" t="s">
        <v>521</v>
      </c>
      <c r="D318" s="452"/>
      <c r="E318" s="179"/>
      <c r="F318" s="179"/>
      <c r="G318" s="446">
        <f>SUM(G316:G317)</f>
        <v>-753</v>
      </c>
    </row>
    <row r="319" spans="3:7" ht="12.75">
      <c r="C319" s="440" t="s">
        <v>22</v>
      </c>
      <c r="D319" s="452"/>
      <c r="E319" s="179"/>
      <c r="F319" s="179"/>
      <c r="G319" s="440"/>
    </row>
    <row r="320" spans="3:7" ht="12.75">
      <c r="C320" s="447" t="s">
        <v>522</v>
      </c>
      <c r="D320" s="458"/>
      <c r="E320" s="459"/>
      <c r="F320" s="456"/>
      <c r="G320" s="450">
        <f>SUM(G318:G319)</f>
        <v>-753</v>
      </c>
    </row>
    <row r="323" spans="3:7" ht="12.75">
      <c r="C323" s="555" t="s">
        <v>573</v>
      </c>
      <c r="D323" s="436" t="s">
        <v>513</v>
      </c>
      <c r="E323" s="436" t="s">
        <v>514</v>
      </c>
      <c r="F323" s="436" t="s">
        <v>441</v>
      </c>
      <c r="G323" s="436" t="s">
        <v>442</v>
      </c>
    </row>
    <row r="324" spans="3:7" ht="12.75">
      <c r="C324" s="556"/>
      <c r="D324" s="451" t="s">
        <v>515</v>
      </c>
      <c r="E324" s="451"/>
      <c r="F324" s="451"/>
      <c r="G324" s="451"/>
    </row>
    <row r="325" spans="3:7" ht="12.75">
      <c r="C325" s="438" t="s">
        <v>11</v>
      </c>
      <c r="D325" s="439"/>
      <c r="E325" s="439"/>
      <c r="F325" s="439"/>
      <c r="G325" s="439"/>
    </row>
    <row r="326" spans="3:7" ht="12.75">
      <c r="C326" s="440" t="s">
        <v>443</v>
      </c>
      <c r="D326" s="452">
        <v>41585</v>
      </c>
      <c r="E326" s="179">
        <v>14021</v>
      </c>
      <c r="F326" s="179"/>
      <c r="G326" s="442">
        <f>ROUND((E326+D326),0)</f>
        <v>55606</v>
      </c>
    </row>
    <row r="327" spans="3:7" ht="12.75">
      <c r="C327" s="440" t="s">
        <v>516</v>
      </c>
      <c r="D327" s="452">
        <v>5833</v>
      </c>
      <c r="E327" s="179">
        <v>0</v>
      </c>
      <c r="F327" s="179">
        <v>-5833</v>
      </c>
      <c r="G327" s="442">
        <f>ROUND((E327+D327+F327),0)</f>
        <v>0</v>
      </c>
    </row>
    <row r="328" spans="3:7" ht="12.75">
      <c r="C328" s="443" t="s">
        <v>444</v>
      </c>
      <c r="D328" s="453">
        <f>SUM(D326:D327)</f>
        <v>47418</v>
      </c>
      <c r="E328" s="453">
        <f>SUM(E326:E327)</f>
        <v>14021</v>
      </c>
      <c r="F328" s="453">
        <f>SUM(F326:F327)</f>
        <v>-5833</v>
      </c>
      <c r="G328" s="453">
        <f>SUM(G326:G327)</f>
        <v>55606</v>
      </c>
    </row>
    <row r="329" spans="3:7" ht="12.75">
      <c r="C329" s="440"/>
      <c r="D329" s="452"/>
      <c r="E329" s="179"/>
      <c r="F329" s="179"/>
      <c r="G329" s="440"/>
    </row>
    <row r="330" spans="3:7" ht="12.75">
      <c r="C330" s="440" t="s">
        <v>517</v>
      </c>
      <c r="D330" s="452">
        <v>2945</v>
      </c>
      <c r="E330" s="179">
        <v>193</v>
      </c>
      <c r="F330" s="179">
        <v>57</v>
      </c>
      <c r="G330" s="442">
        <f>D330+E330+F330</f>
        <v>3195</v>
      </c>
    </row>
    <row r="331" spans="3:7" ht="12.75">
      <c r="C331" s="440" t="s">
        <v>445</v>
      </c>
      <c r="D331" s="452"/>
      <c r="E331" s="179"/>
      <c r="F331" s="179"/>
      <c r="G331" s="179">
        <v>-328</v>
      </c>
    </row>
    <row r="332" spans="3:7" ht="12.75">
      <c r="C332" s="443" t="s">
        <v>446</v>
      </c>
      <c r="D332" s="454"/>
      <c r="E332" s="455"/>
      <c r="F332" s="455"/>
      <c r="G332" s="446">
        <f>SUM(G330:G331)</f>
        <v>2867</v>
      </c>
    </row>
    <row r="333" spans="3:7" ht="12.75">
      <c r="C333" s="440" t="s">
        <v>417</v>
      </c>
      <c r="D333" s="452"/>
      <c r="E333" s="179"/>
      <c r="F333" s="179"/>
      <c r="G333" s="440">
        <v>63</v>
      </c>
    </row>
    <row r="334" spans="3:7" ht="12.75">
      <c r="C334" s="440" t="s">
        <v>518</v>
      </c>
      <c r="D334" s="452"/>
      <c r="E334" s="179"/>
      <c r="F334" s="179"/>
      <c r="G334" s="179">
        <v>-1101</v>
      </c>
    </row>
    <row r="335" spans="3:7" ht="12.75">
      <c r="C335" s="440" t="s">
        <v>519</v>
      </c>
      <c r="D335" s="452"/>
      <c r="E335" s="179"/>
      <c r="F335" s="179"/>
      <c r="G335" s="179">
        <v>0</v>
      </c>
    </row>
    <row r="336" spans="3:7" ht="12.75">
      <c r="C336" s="443" t="s">
        <v>520</v>
      </c>
      <c r="D336" s="454"/>
      <c r="E336" s="455"/>
      <c r="F336" s="455"/>
      <c r="G336" s="446">
        <f>SUM(G332:G335)</f>
        <v>1829</v>
      </c>
    </row>
    <row r="337" spans="3:7" ht="12.75">
      <c r="C337" s="440" t="s">
        <v>34</v>
      </c>
      <c r="D337" s="452"/>
      <c r="E337" s="179"/>
      <c r="F337" s="179"/>
      <c r="G337" s="179">
        <v>-823</v>
      </c>
    </row>
    <row r="338" spans="3:7" ht="12.75">
      <c r="C338" s="443" t="s">
        <v>521</v>
      </c>
      <c r="D338" s="452"/>
      <c r="E338" s="179"/>
      <c r="F338" s="179"/>
      <c r="G338" s="446">
        <f>SUM(G336:G337)</f>
        <v>1006</v>
      </c>
    </row>
    <row r="339" spans="3:7" ht="12.75">
      <c r="C339" s="440" t="s">
        <v>22</v>
      </c>
      <c r="D339" s="452"/>
      <c r="E339" s="179"/>
      <c r="F339" s="179"/>
      <c r="G339" s="440"/>
    </row>
    <row r="340" spans="3:7" ht="12.75">
      <c r="C340" s="447" t="s">
        <v>522</v>
      </c>
      <c r="D340" s="458"/>
      <c r="E340" s="459"/>
      <c r="F340" s="456"/>
      <c r="G340" s="450">
        <f>SUM(G338:G339)</f>
        <v>1006</v>
      </c>
    </row>
  </sheetData>
  <mergeCells count="10">
    <mergeCell ref="C323:C324"/>
    <mergeCell ref="D170:E170"/>
    <mergeCell ref="C303:C304"/>
    <mergeCell ref="C221:C222"/>
    <mergeCell ref="C264:C265"/>
    <mergeCell ref="C284:C285"/>
    <mergeCell ref="B170:C171"/>
    <mergeCell ref="D186:D188"/>
    <mergeCell ref="E186:E188"/>
    <mergeCell ref="C241:C2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showGridLines="0" workbookViewId="0" topLeftCell="F1">
      <selection activeCell="A43" sqref="A43"/>
    </sheetView>
  </sheetViews>
  <sheetFormatPr defaultColWidth="8.88671875" defaultRowHeight="15"/>
  <cols>
    <col min="1" max="1" width="8.88671875" style="2" customWidth="1"/>
    <col min="2" max="2" width="2.5546875" style="4" customWidth="1"/>
    <col min="3" max="3" width="5.21484375" style="19" customWidth="1"/>
    <col min="4" max="4" width="14.5546875" style="4" customWidth="1"/>
    <col min="5" max="5" width="18.99609375" style="4" customWidth="1"/>
    <col min="6" max="6" width="14.6640625" style="3" customWidth="1"/>
    <col min="7" max="7" width="1.66796875" style="2" customWidth="1"/>
    <col min="8" max="8" width="9.88671875" style="2" customWidth="1"/>
    <col min="9" max="9" width="9.77734375" style="2" customWidth="1"/>
    <col min="10" max="10" width="1.99609375" style="2" customWidth="1"/>
    <col min="11" max="11" width="5.21484375" style="2" customWidth="1"/>
    <col min="12" max="12" width="3.3359375" style="2" customWidth="1"/>
    <col min="13" max="13" width="0" style="2" hidden="1" customWidth="1"/>
    <col min="14" max="16384" width="8.88671875" style="2" customWidth="1"/>
  </cols>
  <sheetData>
    <row r="1" spans="1:21" ht="15">
      <c r="A1" s="1"/>
      <c r="B1" s="59"/>
      <c r="C1" s="60"/>
      <c r="D1" s="59"/>
      <c r="E1" s="59"/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1"/>
      <c r="B2" s="59"/>
      <c r="C2" s="60"/>
      <c r="D2" s="59"/>
      <c r="E2" s="59"/>
      <c r="F2" s="6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1"/>
      <c r="B3" s="59"/>
      <c r="C3" s="60"/>
      <c r="D3" s="59"/>
      <c r="E3" s="59"/>
      <c r="F3" s="6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17" ht="15.75">
      <c r="A4" s="1"/>
      <c r="B4" s="573" t="str">
        <f>CIS!B2</f>
        <v>TAMCO CORPORATE HOLDINGS BERHAD</v>
      </c>
      <c r="C4" s="573"/>
      <c r="D4" s="573"/>
      <c r="E4" s="573"/>
      <c r="F4" s="574"/>
      <c r="G4" s="574"/>
      <c r="H4" s="574"/>
      <c r="I4" s="574"/>
      <c r="J4" s="9"/>
      <c r="K4" s="1"/>
      <c r="L4" s="1"/>
      <c r="M4" s="1"/>
      <c r="N4" s="1"/>
      <c r="O4" s="1"/>
      <c r="P4" s="1"/>
      <c r="Q4" s="1"/>
    </row>
    <row r="5" spans="1:17" ht="15">
      <c r="A5" s="1"/>
      <c r="B5" s="578" t="s">
        <v>8</v>
      </c>
      <c r="C5" s="579"/>
      <c r="D5" s="579"/>
      <c r="E5" s="579"/>
      <c r="F5" s="579"/>
      <c r="G5" s="579"/>
      <c r="H5" s="579"/>
      <c r="I5" s="579"/>
      <c r="J5" s="9"/>
      <c r="K5" s="1"/>
      <c r="L5" s="1"/>
      <c r="M5" s="1"/>
      <c r="N5" s="1"/>
      <c r="O5" s="1"/>
      <c r="P5" s="1"/>
      <c r="Q5" s="1"/>
    </row>
    <row r="6" spans="1:17" s="20" customFormat="1" ht="15">
      <c r="A6" s="61"/>
      <c r="B6" s="575" t="str">
        <f>CIS!B4</f>
        <v>(Company No : 6614-W)</v>
      </c>
      <c r="C6" s="575"/>
      <c r="D6" s="575"/>
      <c r="E6" s="575"/>
      <c r="F6" s="574"/>
      <c r="G6" s="574"/>
      <c r="H6" s="574"/>
      <c r="I6" s="574"/>
      <c r="J6" s="9"/>
      <c r="K6" s="1"/>
      <c r="L6" s="1"/>
      <c r="M6" s="1"/>
      <c r="N6" s="1"/>
      <c r="O6" s="1"/>
      <c r="P6" s="1"/>
      <c r="Q6" s="1"/>
    </row>
    <row r="7" spans="1:17" s="20" customFormat="1" ht="6.75" customHeight="1">
      <c r="A7" s="61"/>
      <c r="B7" s="83"/>
      <c r="C7" s="83"/>
      <c r="D7" s="83"/>
      <c r="E7" s="83"/>
      <c r="F7" s="82"/>
      <c r="G7" s="82"/>
      <c r="H7" s="82"/>
      <c r="I7" s="84"/>
      <c r="J7" s="9"/>
      <c r="K7" s="1"/>
      <c r="L7" s="1"/>
      <c r="M7" s="82"/>
      <c r="N7" s="1"/>
      <c r="O7" s="1"/>
      <c r="P7" s="1"/>
      <c r="Q7" s="1"/>
    </row>
    <row r="8" spans="1:17" s="20" customFormat="1" ht="15.75">
      <c r="A8" s="61"/>
      <c r="B8" s="576" t="s">
        <v>13</v>
      </c>
      <c r="C8" s="576"/>
      <c r="D8" s="576"/>
      <c r="E8" s="576"/>
      <c r="F8" s="574"/>
      <c r="G8" s="574"/>
      <c r="H8" s="574"/>
      <c r="I8" s="574"/>
      <c r="J8" s="9"/>
      <c r="K8" s="1"/>
      <c r="L8" s="1"/>
      <c r="M8" s="1"/>
      <c r="N8" s="1"/>
      <c r="O8" s="1"/>
      <c r="P8" s="1"/>
      <c r="Q8" s="1"/>
    </row>
    <row r="9" spans="1:17" s="20" customFormat="1" ht="12.75" customHeight="1">
      <c r="A9" s="61"/>
      <c r="B9" s="577" t="s">
        <v>271</v>
      </c>
      <c r="C9" s="577"/>
      <c r="D9" s="577"/>
      <c r="E9" s="577"/>
      <c r="F9" s="574"/>
      <c r="G9" s="574"/>
      <c r="H9" s="574"/>
      <c r="I9" s="574"/>
      <c r="J9" s="9"/>
      <c r="K9" s="1"/>
      <c r="L9" s="1"/>
      <c r="M9" s="1"/>
      <c r="N9" s="1"/>
      <c r="O9" s="1"/>
      <c r="P9" s="1"/>
      <c r="Q9" s="1"/>
    </row>
    <row r="10" spans="1:17" s="23" customFormat="1" ht="15">
      <c r="A10" s="62"/>
      <c r="B10" s="5"/>
      <c r="C10" s="5"/>
      <c r="D10" s="25"/>
      <c r="E10" s="25"/>
      <c r="F10" s="25"/>
      <c r="G10" s="25"/>
      <c r="H10" s="25" t="s">
        <v>36</v>
      </c>
      <c r="I10" s="25" t="s">
        <v>36</v>
      </c>
      <c r="J10" s="9"/>
      <c r="K10" s="1"/>
      <c r="L10" s="1"/>
      <c r="M10" s="25" t="s">
        <v>36</v>
      </c>
      <c r="N10" s="1"/>
      <c r="O10" s="1"/>
      <c r="P10" s="1"/>
      <c r="Q10" s="1"/>
    </row>
    <row r="11" spans="1:17" s="23" customFormat="1" ht="15">
      <c r="A11" s="62"/>
      <c r="B11" s="5"/>
      <c r="C11" s="22"/>
      <c r="D11" s="24"/>
      <c r="E11" s="24"/>
      <c r="F11" s="22"/>
      <c r="G11" s="25"/>
      <c r="H11" s="25" t="s">
        <v>103</v>
      </c>
      <c r="I11" s="24" t="s">
        <v>108</v>
      </c>
      <c r="J11" s="9"/>
      <c r="K11" s="1"/>
      <c r="L11" s="1"/>
      <c r="M11" s="24" t="s">
        <v>99</v>
      </c>
      <c r="N11" s="1"/>
      <c r="O11" s="1"/>
      <c r="P11" s="1"/>
      <c r="Q11" s="1"/>
    </row>
    <row r="12" spans="1:17" s="23" customFormat="1" ht="15">
      <c r="A12" s="62"/>
      <c r="B12" s="5"/>
      <c r="C12" s="5"/>
      <c r="D12" s="25"/>
      <c r="E12" s="25"/>
      <c r="F12" s="25"/>
      <c r="G12" s="25"/>
      <c r="H12" s="25" t="s">
        <v>33</v>
      </c>
      <c r="I12" s="25" t="s">
        <v>33</v>
      </c>
      <c r="J12" s="9"/>
      <c r="K12" s="1"/>
      <c r="L12" s="1"/>
      <c r="M12" s="25" t="s">
        <v>33</v>
      </c>
      <c r="N12" s="1"/>
      <c r="O12" s="1"/>
      <c r="P12" s="1"/>
      <c r="Q12" s="1"/>
    </row>
    <row r="13" spans="1:17" s="23" customFormat="1" ht="15">
      <c r="A13" s="62"/>
      <c r="B13" s="5"/>
      <c r="C13" s="5"/>
      <c r="D13" s="25"/>
      <c r="E13" s="25"/>
      <c r="F13" s="25"/>
      <c r="G13" s="25"/>
      <c r="H13" s="25" t="s">
        <v>69</v>
      </c>
      <c r="I13" s="25" t="s">
        <v>70</v>
      </c>
      <c r="J13" s="9"/>
      <c r="K13" s="1"/>
      <c r="L13" s="1"/>
      <c r="M13" s="25" t="s">
        <v>69</v>
      </c>
      <c r="N13" s="1"/>
      <c r="O13" s="1"/>
      <c r="P13" s="1"/>
      <c r="Q13" s="1"/>
    </row>
    <row r="14" spans="1:17" s="20" customFormat="1" ht="15">
      <c r="A14" s="61"/>
      <c r="B14" s="8" t="s">
        <v>37</v>
      </c>
      <c r="C14" s="4"/>
      <c r="D14" s="4"/>
      <c r="E14" s="4"/>
      <c r="F14" s="4"/>
      <c r="G14" s="4"/>
      <c r="H14" s="4"/>
      <c r="I14" s="4"/>
      <c r="J14" s="9"/>
      <c r="K14" s="1"/>
      <c r="L14" s="1"/>
      <c r="M14" s="4"/>
      <c r="N14" s="1"/>
      <c r="O14" s="1"/>
      <c r="P14" s="1"/>
      <c r="Q14" s="1"/>
    </row>
    <row r="15" spans="1:17" s="20" customFormat="1" ht="15">
      <c r="A15" s="61"/>
      <c r="B15" s="4" t="s">
        <v>23</v>
      </c>
      <c r="C15" s="4"/>
      <c r="D15" s="4"/>
      <c r="E15" s="4"/>
      <c r="F15" s="4"/>
      <c r="G15" s="4"/>
      <c r="H15" s="85">
        <f>+Workings!D53</f>
        <v>59124</v>
      </c>
      <c r="I15" s="85">
        <f>+Workings!E53</f>
        <v>58814</v>
      </c>
      <c r="J15" s="9"/>
      <c r="K15" s="1"/>
      <c r="L15" s="1"/>
      <c r="M15" s="85">
        <v>59752</v>
      </c>
      <c r="N15" s="1"/>
      <c r="O15" s="1"/>
      <c r="P15" s="1"/>
      <c r="Q15" s="1"/>
    </row>
    <row r="16" spans="1:17" s="20" customFormat="1" ht="15">
      <c r="A16" s="61"/>
      <c r="B16" s="4" t="s">
        <v>24</v>
      </c>
      <c r="C16" s="4"/>
      <c r="D16" s="4"/>
      <c r="E16" s="4"/>
      <c r="F16" s="4"/>
      <c r="G16" s="4"/>
      <c r="H16" s="85">
        <f>+Workings!D56</f>
        <v>5903</v>
      </c>
      <c r="I16" s="85">
        <f>+Workings!E56</f>
        <v>8509</v>
      </c>
      <c r="J16" s="9"/>
      <c r="K16" s="1"/>
      <c r="L16" s="1"/>
      <c r="M16" s="85">
        <v>6064</v>
      </c>
      <c r="N16" s="1"/>
      <c r="O16" s="1"/>
      <c r="P16" s="1"/>
      <c r="Q16" s="1"/>
    </row>
    <row r="17" spans="1:17" s="20" customFormat="1" ht="15">
      <c r="A17" s="61"/>
      <c r="B17" s="4" t="s">
        <v>40</v>
      </c>
      <c r="C17" s="4"/>
      <c r="D17" s="4"/>
      <c r="E17" s="4"/>
      <c r="F17" s="4"/>
      <c r="G17" s="4"/>
      <c r="H17" s="85">
        <f>+Workings!D57</f>
        <v>13848</v>
      </c>
      <c r="I17" s="85">
        <f>+Workings!E57</f>
        <v>14505</v>
      </c>
      <c r="J17" s="9"/>
      <c r="K17" s="1"/>
      <c r="L17" s="1"/>
      <c r="M17" s="85">
        <v>14176</v>
      </c>
      <c r="N17" s="1"/>
      <c r="O17" s="1"/>
      <c r="P17" s="1"/>
      <c r="Q17" s="1"/>
    </row>
    <row r="18" spans="1:17" s="20" customFormat="1" ht="15">
      <c r="A18" s="61"/>
      <c r="B18" s="4" t="s">
        <v>38</v>
      </c>
      <c r="C18" s="4"/>
      <c r="D18" s="4"/>
      <c r="E18" s="4"/>
      <c r="F18" s="4"/>
      <c r="G18" s="4"/>
      <c r="H18" s="85"/>
      <c r="I18" s="85"/>
      <c r="J18" s="9"/>
      <c r="K18" s="1"/>
      <c r="L18" s="1"/>
      <c r="M18" s="85"/>
      <c r="N18" s="1"/>
      <c r="O18" s="1"/>
      <c r="P18" s="1"/>
      <c r="Q18" s="1"/>
    </row>
    <row r="19" spans="1:17" s="20" customFormat="1" ht="15">
      <c r="A19" s="61"/>
      <c r="B19" s="4"/>
      <c r="C19" s="4" t="s">
        <v>561</v>
      </c>
      <c r="D19" s="4"/>
      <c r="E19" s="4"/>
      <c r="F19" s="4"/>
      <c r="G19" s="4"/>
      <c r="H19" s="85">
        <v>4053</v>
      </c>
      <c r="I19" s="85"/>
      <c r="J19" s="9"/>
      <c r="K19" s="1"/>
      <c r="L19" s="1"/>
      <c r="M19" s="85"/>
      <c r="N19" s="1"/>
      <c r="O19" s="1"/>
      <c r="P19" s="1"/>
      <c r="Q19" s="1"/>
    </row>
    <row r="20" spans="1:17" s="20" customFormat="1" ht="15">
      <c r="A20" s="61"/>
      <c r="B20" s="4"/>
      <c r="C20" s="4" t="s">
        <v>93</v>
      </c>
      <c r="D20" s="4"/>
      <c r="E20" s="4"/>
      <c r="F20" s="4"/>
      <c r="G20" s="4"/>
      <c r="H20" s="85">
        <f>+Workings!D55</f>
        <v>5024</v>
      </c>
      <c r="I20" s="85">
        <f>+Workings!E55</f>
        <v>5001</v>
      </c>
      <c r="J20" s="9"/>
      <c r="K20" s="1"/>
      <c r="L20" s="1"/>
      <c r="M20" s="85">
        <v>5070</v>
      </c>
      <c r="N20" s="1"/>
      <c r="O20" s="1"/>
      <c r="P20" s="1"/>
      <c r="Q20" s="1"/>
    </row>
    <row r="21" spans="1:17" s="20" customFormat="1" ht="15">
      <c r="A21" s="61"/>
      <c r="B21" s="4" t="s">
        <v>39</v>
      </c>
      <c r="C21" s="4"/>
      <c r="D21" s="4"/>
      <c r="E21" s="4"/>
      <c r="F21" s="4"/>
      <c r="G21" s="4"/>
      <c r="H21" s="85">
        <f>+Workings!D58</f>
        <v>5294</v>
      </c>
      <c r="I21" s="85">
        <f>+Workings!E58</f>
        <v>5069</v>
      </c>
      <c r="J21" s="9"/>
      <c r="K21" s="1"/>
      <c r="L21" s="1"/>
      <c r="M21" s="85">
        <v>4971</v>
      </c>
      <c r="N21" s="1"/>
      <c r="O21" s="1"/>
      <c r="P21" s="1"/>
      <c r="Q21" s="1"/>
    </row>
    <row r="22" spans="1:17" s="20" customFormat="1" ht="8.25" customHeight="1">
      <c r="A22" s="61"/>
      <c r="B22" s="4"/>
      <c r="C22" s="4"/>
      <c r="D22" s="4"/>
      <c r="E22" s="4"/>
      <c r="F22" s="4"/>
      <c r="G22" s="4"/>
      <c r="H22" s="85"/>
      <c r="I22" s="85"/>
      <c r="J22" s="9"/>
      <c r="K22" s="1"/>
      <c r="L22" s="1"/>
      <c r="M22" s="85"/>
      <c r="N22" s="1"/>
      <c r="O22" s="1"/>
      <c r="P22" s="1"/>
      <c r="Q22" s="1"/>
    </row>
    <row r="23" spans="1:17" s="44" customFormat="1" ht="15">
      <c r="A23" s="65"/>
      <c r="B23" s="4" t="s">
        <v>41</v>
      </c>
      <c r="C23" s="4"/>
      <c r="D23" s="4"/>
      <c r="E23" s="4"/>
      <c r="F23" s="4"/>
      <c r="G23" s="4"/>
      <c r="H23" s="90"/>
      <c r="I23" s="90"/>
      <c r="J23" s="9"/>
      <c r="K23" s="1"/>
      <c r="L23" s="1"/>
      <c r="M23" s="90"/>
      <c r="N23" s="1"/>
      <c r="O23" s="1"/>
      <c r="P23" s="1"/>
      <c r="Q23" s="1"/>
    </row>
    <row r="24" spans="1:17" ht="15">
      <c r="A24" s="1"/>
      <c r="C24" s="4" t="s">
        <v>86</v>
      </c>
      <c r="F24" s="4"/>
      <c r="G24" s="87"/>
      <c r="H24" s="88">
        <f>+Workings!D62</f>
        <v>104680</v>
      </c>
      <c r="I24" s="88">
        <f>+Workings!E62</f>
        <v>86745</v>
      </c>
      <c r="J24" s="117"/>
      <c r="K24" s="1"/>
      <c r="L24" s="1"/>
      <c r="M24" s="88">
        <v>99795</v>
      </c>
      <c r="N24" s="1"/>
      <c r="O24" s="1"/>
      <c r="P24" s="1"/>
      <c r="Q24" s="1"/>
    </row>
    <row r="25" spans="1:17" ht="15">
      <c r="A25" s="1"/>
      <c r="C25" s="4" t="s">
        <v>42</v>
      </c>
      <c r="F25" s="4"/>
      <c r="G25" s="89"/>
      <c r="H25" s="90">
        <f>+Workings!D63</f>
        <v>156917</v>
      </c>
      <c r="I25" s="90">
        <f>+Workings!E63</f>
        <v>148992</v>
      </c>
      <c r="J25" s="12"/>
      <c r="K25" s="1"/>
      <c r="L25" s="1"/>
      <c r="M25" s="90">
        <v>167440</v>
      </c>
      <c r="N25" s="1"/>
      <c r="O25" s="1"/>
      <c r="P25" s="1"/>
      <c r="Q25" s="1"/>
    </row>
    <row r="26" spans="1:17" ht="15">
      <c r="A26" s="1"/>
      <c r="C26" s="4" t="s">
        <v>43</v>
      </c>
      <c r="F26" s="4"/>
      <c r="G26" s="89"/>
      <c r="H26" s="90">
        <f>+Workings!D64-4053</f>
        <v>14947</v>
      </c>
      <c r="I26" s="90">
        <f>+Workings!E64</f>
        <v>11077</v>
      </c>
      <c r="J26" s="12"/>
      <c r="K26" s="1"/>
      <c r="L26" s="1"/>
      <c r="M26" s="90">
        <v>15778</v>
      </c>
      <c r="N26" s="1"/>
      <c r="O26" s="1"/>
      <c r="P26" s="1"/>
      <c r="Q26" s="1"/>
    </row>
    <row r="27" spans="1:17" ht="15">
      <c r="A27" s="1"/>
      <c r="C27" s="4" t="s">
        <v>44</v>
      </c>
      <c r="F27" s="4"/>
      <c r="G27" s="89"/>
      <c r="H27" s="90">
        <f>+Workings!D66+Workings!D68</f>
        <v>399</v>
      </c>
      <c r="I27" s="90">
        <f>+Workings!E66+Workings!E68</f>
        <v>1209</v>
      </c>
      <c r="J27" s="12"/>
      <c r="K27" s="1"/>
      <c r="L27" s="1"/>
      <c r="M27" s="90">
        <v>356</v>
      </c>
      <c r="N27" s="1"/>
      <c r="O27" s="1"/>
      <c r="P27" s="1"/>
      <c r="Q27" s="1"/>
    </row>
    <row r="28" spans="1:17" ht="15">
      <c r="A28" s="1"/>
      <c r="C28" s="4" t="s">
        <v>45</v>
      </c>
      <c r="F28" s="4"/>
      <c r="G28" s="89"/>
      <c r="H28" s="90">
        <f>+Workings!D70</f>
        <v>14336</v>
      </c>
      <c r="I28" s="90">
        <f>+Workings!E70</f>
        <v>22227</v>
      </c>
      <c r="J28" s="12"/>
      <c r="K28" s="1"/>
      <c r="L28" s="1"/>
      <c r="M28" s="90">
        <v>19336</v>
      </c>
      <c r="N28" s="1"/>
      <c r="O28" s="1"/>
      <c r="P28" s="1"/>
      <c r="Q28" s="1"/>
    </row>
    <row r="29" spans="1:17" ht="15">
      <c r="A29" s="1"/>
      <c r="C29" s="4" t="s">
        <v>46</v>
      </c>
      <c r="F29" s="4"/>
      <c r="G29" s="89"/>
      <c r="H29" s="90">
        <f>+Workings!D71</f>
        <v>6789</v>
      </c>
      <c r="I29" s="90">
        <f>+Workings!E71</f>
        <v>13597</v>
      </c>
      <c r="J29" s="12"/>
      <c r="K29" s="1"/>
      <c r="L29" s="1"/>
      <c r="M29" s="90">
        <v>5796</v>
      </c>
      <c r="N29" s="1"/>
      <c r="O29" s="1"/>
      <c r="P29" s="1"/>
      <c r="Q29" s="1"/>
    </row>
    <row r="30" spans="1:17" ht="15">
      <c r="A30" s="1"/>
      <c r="C30" s="4"/>
      <c r="F30" s="4"/>
      <c r="G30" s="89"/>
      <c r="H30" s="88"/>
      <c r="I30" s="88"/>
      <c r="J30" s="12"/>
      <c r="K30" s="1"/>
      <c r="L30" s="1"/>
      <c r="M30" s="88"/>
      <c r="N30" s="1"/>
      <c r="O30" s="1"/>
      <c r="P30" s="1"/>
      <c r="Q30" s="1"/>
    </row>
    <row r="31" spans="1:17" ht="15">
      <c r="A31" s="1"/>
      <c r="C31" s="4"/>
      <c r="F31" s="4"/>
      <c r="G31" s="89"/>
      <c r="H31" s="86">
        <f>SUM(H24:H30)</f>
        <v>298068</v>
      </c>
      <c r="I31" s="86">
        <f>SUM(I24:I30)</f>
        <v>283847</v>
      </c>
      <c r="J31" s="12"/>
      <c r="K31" s="1"/>
      <c r="L31" s="1"/>
      <c r="M31" s="86">
        <f>SUM(M24:M30)</f>
        <v>308501</v>
      </c>
      <c r="N31" s="1"/>
      <c r="O31" s="1"/>
      <c r="P31" s="1"/>
      <c r="Q31" s="1"/>
    </row>
    <row r="32" spans="1:17" ht="15">
      <c r="A32" s="1"/>
      <c r="B32" s="4" t="s">
        <v>47</v>
      </c>
      <c r="C32" s="4"/>
      <c r="F32" s="4"/>
      <c r="G32" s="89"/>
      <c r="H32" s="90"/>
      <c r="I32" s="90"/>
      <c r="J32" s="12"/>
      <c r="K32" s="1"/>
      <c r="L32" s="1"/>
      <c r="M32" s="90"/>
      <c r="N32" s="1"/>
      <c r="O32" s="1"/>
      <c r="P32" s="1"/>
      <c r="Q32" s="1"/>
    </row>
    <row r="33" spans="1:17" ht="15">
      <c r="A33" s="1"/>
      <c r="C33" s="4" t="s">
        <v>49</v>
      </c>
      <c r="F33" s="4"/>
      <c r="G33" s="89"/>
      <c r="H33" s="90">
        <f>+Workings!D76</f>
        <v>80494</v>
      </c>
      <c r="I33" s="90">
        <f>+Workings!E76</f>
        <v>68911</v>
      </c>
      <c r="J33" s="12"/>
      <c r="K33" s="1"/>
      <c r="L33" s="1"/>
      <c r="M33" s="90">
        <v>78511</v>
      </c>
      <c r="N33" s="1"/>
      <c r="O33" s="1"/>
      <c r="P33" s="1"/>
      <c r="Q33" s="1"/>
    </row>
    <row r="34" spans="1:17" ht="15">
      <c r="A34" s="1"/>
      <c r="C34" s="4" t="s">
        <v>50</v>
      </c>
      <c r="F34" s="4"/>
      <c r="G34" s="89"/>
      <c r="H34" s="90">
        <f>+Workings!D77</f>
        <v>17030</v>
      </c>
      <c r="I34" s="90">
        <f>+Workings!E77</f>
        <v>15841</v>
      </c>
      <c r="J34" s="12"/>
      <c r="K34" s="1"/>
      <c r="L34" s="1"/>
      <c r="M34" s="90">
        <v>14505</v>
      </c>
      <c r="N34" s="1"/>
      <c r="O34" s="1"/>
      <c r="P34" s="1"/>
      <c r="Q34" s="1"/>
    </row>
    <row r="35" spans="1:17" ht="15">
      <c r="A35" s="1"/>
      <c r="C35" s="4" t="s">
        <v>52</v>
      </c>
      <c r="F35" s="4"/>
      <c r="G35" s="89"/>
      <c r="H35" s="90">
        <f>+Workings!D79+Workings!D81</f>
        <v>1700</v>
      </c>
      <c r="I35" s="90">
        <f>+Workings!E79+Workings!E81</f>
        <v>1142</v>
      </c>
      <c r="J35" s="12"/>
      <c r="K35" s="1"/>
      <c r="L35" s="1"/>
      <c r="M35" s="90">
        <v>2259</v>
      </c>
      <c r="N35" s="1"/>
      <c r="O35" s="1"/>
      <c r="P35" s="1"/>
      <c r="Q35" s="1"/>
    </row>
    <row r="36" spans="1:17" ht="15">
      <c r="A36" s="1"/>
      <c r="C36" s="4" t="s">
        <v>48</v>
      </c>
      <c r="F36" s="4"/>
      <c r="G36" s="89"/>
      <c r="H36" s="90">
        <f>+Workings!D82</f>
        <v>64398</v>
      </c>
      <c r="I36" s="90">
        <f>+Workings!E82</f>
        <v>73799</v>
      </c>
      <c r="J36" s="12"/>
      <c r="K36" s="1"/>
      <c r="L36" s="1"/>
      <c r="M36" s="90">
        <v>68033</v>
      </c>
      <c r="N36" s="1"/>
      <c r="O36" s="1"/>
      <c r="P36" s="1"/>
      <c r="Q36" s="1"/>
    </row>
    <row r="37" spans="1:17" ht="15">
      <c r="A37" s="1"/>
      <c r="C37" s="4" t="s">
        <v>51</v>
      </c>
      <c r="F37" s="4"/>
      <c r="G37" s="89"/>
      <c r="H37" s="90">
        <f>+Workings!D83</f>
        <v>214</v>
      </c>
      <c r="I37" s="90">
        <f>+Workings!E83</f>
        <v>93</v>
      </c>
      <c r="J37" s="12"/>
      <c r="K37" s="1"/>
      <c r="L37" s="1"/>
      <c r="M37" s="90">
        <v>93</v>
      </c>
      <c r="N37" s="1"/>
      <c r="O37" s="1"/>
      <c r="P37" s="1"/>
      <c r="Q37" s="1"/>
    </row>
    <row r="38" spans="1:17" ht="15" hidden="1">
      <c r="A38" s="1"/>
      <c r="C38" s="4" t="s">
        <v>67</v>
      </c>
      <c r="F38" s="4"/>
      <c r="G38" s="89"/>
      <c r="H38" s="90">
        <v>0</v>
      </c>
      <c r="I38" s="90">
        <v>0</v>
      </c>
      <c r="J38" s="12"/>
      <c r="K38" s="1"/>
      <c r="L38" s="1"/>
      <c r="M38" s="90">
        <v>0</v>
      </c>
      <c r="N38" s="1"/>
      <c r="O38" s="1"/>
      <c r="P38" s="1"/>
      <c r="Q38" s="1"/>
    </row>
    <row r="39" spans="1:17" ht="9" customHeight="1">
      <c r="A39" s="1"/>
      <c r="C39" s="4"/>
      <c r="F39" s="4"/>
      <c r="G39" s="89"/>
      <c r="H39" s="88"/>
      <c r="I39" s="88"/>
      <c r="J39" s="12"/>
      <c r="K39" s="1"/>
      <c r="L39" s="1"/>
      <c r="M39" s="88"/>
      <c r="N39" s="1"/>
      <c r="O39" s="1"/>
      <c r="P39" s="1"/>
      <c r="Q39" s="1"/>
    </row>
    <row r="40" spans="1:17" ht="15">
      <c r="A40" s="1"/>
      <c r="C40" s="4"/>
      <c r="F40" s="4"/>
      <c r="G40" s="89"/>
      <c r="H40" s="86">
        <f>SUM(H33:H39)</f>
        <v>163836</v>
      </c>
      <c r="I40" s="86">
        <f>SUM(I33:I39)</f>
        <v>159786</v>
      </c>
      <c r="J40" s="12"/>
      <c r="K40" s="1"/>
      <c r="L40" s="1"/>
      <c r="M40" s="86">
        <f>SUM(M33:M39)</f>
        <v>163401</v>
      </c>
      <c r="N40" s="1"/>
      <c r="O40" s="1"/>
      <c r="P40" s="1"/>
      <c r="Q40" s="1"/>
    </row>
    <row r="41" spans="1:17" ht="15">
      <c r="A41" s="1"/>
      <c r="C41" s="4"/>
      <c r="F41" s="4"/>
      <c r="G41" s="91"/>
      <c r="H41" s="86"/>
      <c r="I41" s="86"/>
      <c r="J41" s="13"/>
      <c r="K41" s="1"/>
      <c r="L41" s="1"/>
      <c r="M41" s="86"/>
      <c r="N41" s="1"/>
      <c r="O41" s="1"/>
      <c r="P41" s="1"/>
      <c r="Q41" s="1"/>
    </row>
    <row r="42" spans="1:17" ht="9.75" customHeight="1">
      <c r="A42" s="1"/>
      <c r="C42" s="4"/>
      <c r="F42" s="4"/>
      <c r="G42" s="4"/>
      <c r="H42" s="85"/>
      <c r="I42" s="85"/>
      <c r="J42" s="9"/>
      <c r="K42" s="1"/>
      <c r="L42" s="1"/>
      <c r="M42" s="85"/>
      <c r="N42" s="1"/>
      <c r="O42" s="1"/>
      <c r="P42" s="1"/>
      <c r="Q42" s="1"/>
    </row>
    <row r="43" spans="1:17" ht="15">
      <c r="A43" s="1"/>
      <c r="B43" s="4" t="s">
        <v>53</v>
      </c>
      <c r="C43" s="4"/>
      <c r="F43" s="4"/>
      <c r="G43" s="4"/>
      <c r="H43" s="85">
        <f>H31-H40</f>
        <v>134232</v>
      </c>
      <c r="I43" s="85">
        <f>I31-I40</f>
        <v>124061</v>
      </c>
      <c r="J43" s="9"/>
      <c r="K43" s="1"/>
      <c r="L43" s="1"/>
      <c r="M43" s="85">
        <f>M31-M40</f>
        <v>145100</v>
      </c>
      <c r="N43" s="1"/>
      <c r="O43" s="1"/>
      <c r="P43" s="1"/>
      <c r="Q43" s="1"/>
    </row>
    <row r="44" spans="1:17" ht="15">
      <c r="A44" s="1"/>
      <c r="C44" s="4"/>
      <c r="F44" s="4"/>
      <c r="G44" s="4"/>
      <c r="H44" s="88"/>
      <c r="I44" s="88"/>
      <c r="J44" s="9"/>
      <c r="K44" s="1"/>
      <c r="L44" s="1"/>
      <c r="M44" s="88"/>
      <c r="N44" s="1"/>
      <c r="O44" s="1"/>
      <c r="P44" s="1"/>
      <c r="Q44" s="1"/>
    </row>
    <row r="45" spans="1:17" ht="15.75" thickBot="1">
      <c r="A45" s="1"/>
      <c r="C45" s="4"/>
      <c r="F45" s="4"/>
      <c r="G45" s="4"/>
      <c r="H45" s="92">
        <f>SUM(H15:H21)+H43</f>
        <v>227478</v>
      </c>
      <c r="I45" s="92">
        <f>SUM(I15:I21)+I43</f>
        <v>215959</v>
      </c>
      <c r="J45" s="9"/>
      <c r="K45" s="1"/>
      <c r="L45" s="1"/>
      <c r="M45" s="92">
        <f>SUM(M15:M21)+M43</f>
        <v>235133</v>
      </c>
      <c r="N45" s="1"/>
      <c r="O45" s="1"/>
      <c r="P45" s="1"/>
      <c r="Q45" s="1"/>
    </row>
    <row r="46" spans="1:17" ht="15.75" thickTop="1">
      <c r="A46" s="1"/>
      <c r="B46" s="8" t="s">
        <v>54</v>
      </c>
      <c r="C46" s="4"/>
      <c r="F46" s="4"/>
      <c r="G46" s="4"/>
      <c r="H46" s="85"/>
      <c r="I46" s="85"/>
      <c r="J46" s="9"/>
      <c r="K46" s="1"/>
      <c r="L46" s="1"/>
      <c r="M46" s="85"/>
      <c r="N46" s="1"/>
      <c r="O46" s="1"/>
      <c r="P46" s="1"/>
      <c r="Q46" s="1"/>
    </row>
    <row r="47" spans="1:17" ht="15">
      <c r="A47" s="1"/>
      <c r="B47" s="4" t="s">
        <v>55</v>
      </c>
      <c r="C47" s="4"/>
      <c r="F47" s="4"/>
      <c r="G47" s="4"/>
      <c r="H47" s="85">
        <f>+Workings!D98</f>
        <v>129744</v>
      </c>
      <c r="I47" s="85">
        <f>+Workings!E98</f>
        <v>112244</v>
      </c>
      <c r="J47" s="9"/>
      <c r="K47" s="1"/>
      <c r="L47" s="1"/>
      <c r="M47" s="85">
        <v>129744</v>
      </c>
      <c r="N47" s="1"/>
      <c r="O47" s="1"/>
      <c r="P47" s="1"/>
      <c r="Q47" s="1"/>
    </row>
    <row r="48" spans="1:17" ht="15">
      <c r="A48" s="1"/>
      <c r="B48" s="4" t="s">
        <v>31</v>
      </c>
      <c r="C48" s="4"/>
      <c r="F48" s="4"/>
      <c r="G48" s="4"/>
      <c r="H48" s="85">
        <f>+Workings!D99</f>
        <v>-3452</v>
      </c>
      <c r="I48" s="85">
        <f>+Workings!E99</f>
        <v>-3996</v>
      </c>
      <c r="J48" s="9"/>
      <c r="K48" s="1"/>
      <c r="L48" s="1"/>
      <c r="M48" s="85">
        <v>-4305</v>
      </c>
      <c r="N48" s="1"/>
      <c r="O48" s="1"/>
      <c r="P48" s="1"/>
      <c r="Q48" s="1"/>
    </row>
    <row r="49" spans="1:17" ht="15">
      <c r="A49" s="1"/>
      <c r="B49" s="4" t="s">
        <v>98</v>
      </c>
      <c r="C49" s="4"/>
      <c r="F49" s="4"/>
      <c r="G49" s="4"/>
      <c r="H49" s="85">
        <f>+Workings!D100</f>
        <v>16380</v>
      </c>
      <c r="I49" s="85">
        <f>+Workings!E100</f>
        <v>22337</v>
      </c>
      <c r="J49" s="9"/>
      <c r="K49" s="1"/>
      <c r="L49" s="1"/>
      <c r="M49" s="85">
        <v>24523</v>
      </c>
      <c r="N49" s="1"/>
      <c r="O49" s="1"/>
      <c r="P49" s="1"/>
      <c r="Q49" s="1"/>
    </row>
    <row r="50" spans="1:17" ht="15">
      <c r="A50" s="1"/>
      <c r="C50" s="4"/>
      <c r="F50" s="4"/>
      <c r="G50" s="4"/>
      <c r="H50" s="88"/>
      <c r="I50" s="88"/>
      <c r="J50" s="9"/>
      <c r="K50" s="1"/>
      <c r="L50" s="1"/>
      <c r="M50" s="88"/>
      <c r="N50" s="1"/>
      <c r="O50" s="1"/>
      <c r="P50" s="1"/>
      <c r="Q50" s="1"/>
    </row>
    <row r="51" spans="1:17" ht="15">
      <c r="A51" s="1"/>
      <c r="B51" s="4" t="s">
        <v>56</v>
      </c>
      <c r="C51" s="4"/>
      <c r="F51" s="4"/>
      <c r="G51" s="4"/>
      <c r="H51" s="85">
        <f>SUM(H47:H50)</f>
        <v>142672</v>
      </c>
      <c r="I51" s="85">
        <f>SUM(I47:I50)</f>
        <v>130585</v>
      </c>
      <c r="J51" s="9"/>
      <c r="K51" s="1"/>
      <c r="L51" s="1"/>
      <c r="M51" s="85">
        <f>SUM(M47:M50)</f>
        <v>149962</v>
      </c>
      <c r="N51" s="1"/>
      <c r="O51" s="1"/>
      <c r="P51" s="1"/>
      <c r="Q51" s="1"/>
    </row>
    <row r="52" spans="1:17" ht="15">
      <c r="A52" s="1"/>
      <c r="C52" s="4"/>
      <c r="F52" s="4"/>
      <c r="G52" s="4"/>
      <c r="H52" s="85"/>
      <c r="I52" s="85"/>
      <c r="J52" s="9"/>
      <c r="K52" s="1"/>
      <c r="L52" s="1"/>
      <c r="M52" s="85"/>
      <c r="N52" s="1"/>
      <c r="O52" s="1"/>
      <c r="P52" s="1"/>
      <c r="Q52" s="1"/>
    </row>
    <row r="53" spans="1:17" ht="15" hidden="1">
      <c r="A53" s="1"/>
      <c r="B53" s="4" t="s">
        <v>272</v>
      </c>
      <c r="C53" s="4"/>
      <c r="F53" s="4"/>
      <c r="G53" s="4"/>
      <c r="H53" s="85">
        <v>0</v>
      </c>
      <c r="I53" s="85">
        <v>0</v>
      </c>
      <c r="J53" s="9"/>
      <c r="K53" s="1"/>
      <c r="L53" s="1"/>
      <c r="M53" s="85"/>
      <c r="N53" s="1"/>
      <c r="O53" s="1"/>
      <c r="P53" s="1"/>
      <c r="Q53" s="1"/>
    </row>
    <row r="54" spans="1:17" ht="15" hidden="1">
      <c r="A54" s="1"/>
      <c r="C54" s="4"/>
      <c r="F54" s="4"/>
      <c r="G54" s="4"/>
      <c r="H54" s="85"/>
      <c r="I54" s="85"/>
      <c r="J54" s="9"/>
      <c r="K54" s="1"/>
      <c r="L54" s="1"/>
      <c r="M54" s="85"/>
      <c r="N54" s="1"/>
      <c r="O54" s="1"/>
      <c r="P54" s="1"/>
      <c r="Q54" s="1"/>
    </row>
    <row r="55" spans="1:17" ht="15">
      <c r="A55" s="1"/>
      <c r="B55" s="4" t="s">
        <v>57</v>
      </c>
      <c r="C55" s="4"/>
      <c r="F55" s="4"/>
      <c r="G55" s="4"/>
      <c r="H55" s="85">
        <f>+Workings!D104</f>
        <v>3697</v>
      </c>
      <c r="I55" s="85">
        <f>+Workings!E104</f>
        <v>3856</v>
      </c>
      <c r="J55" s="9"/>
      <c r="K55" s="1"/>
      <c r="L55" s="1"/>
      <c r="M55" s="85">
        <v>3835</v>
      </c>
      <c r="N55" s="1"/>
      <c r="O55" s="1"/>
      <c r="P55" s="1"/>
      <c r="Q55" s="1"/>
    </row>
    <row r="56" spans="1:17" ht="15">
      <c r="A56" s="1"/>
      <c r="B56" s="4" t="s">
        <v>6</v>
      </c>
      <c r="C56" s="4"/>
      <c r="F56" s="4"/>
      <c r="G56" s="4"/>
      <c r="H56" s="85">
        <f>+Workings!D110-H57</f>
        <v>80000.09642588727</v>
      </c>
      <c r="I56" s="85">
        <f>+Workings!E110-I57</f>
        <v>80000</v>
      </c>
      <c r="J56" s="9"/>
      <c r="K56" s="1"/>
      <c r="L56" s="1"/>
      <c r="M56" s="85">
        <v>80000</v>
      </c>
      <c r="N56" s="1"/>
      <c r="O56" s="1"/>
      <c r="P56" s="1"/>
      <c r="Q56" s="1"/>
    </row>
    <row r="57" spans="1:17" ht="15">
      <c r="A57" s="1"/>
      <c r="B57" s="4" t="s">
        <v>7</v>
      </c>
      <c r="C57" s="4"/>
      <c r="F57" s="4"/>
      <c r="G57" s="4"/>
      <c r="H57" s="85">
        <f>+'BS- Workings'!AK31/1000</f>
        <v>369.9035741127349</v>
      </c>
      <c r="I57" s="85">
        <v>746</v>
      </c>
      <c r="J57" s="9"/>
      <c r="K57" s="1"/>
      <c r="L57" s="1"/>
      <c r="M57" s="85">
        <v>561</v>
      </c>
      <c r="N57" s="1"/>
      <c r="O57" s="1"/>
      <c r="P57" s="1"/>
      <c r="Q57" s="1"/>
    </row>
    <row r="58" spans="1:17" ht="15">
      <c r="A58" s="1"/>
      <c r="B58" s="4" t="s">
        <v>58</v>
      </c>
      <c r="C58" s="4"/>
      <c r="F58" s="4"/>
      <c r="G58" s="4"/>
      <c r="H58" s="85">
        <f>+Workings!D106+Workings!D108</f>
        <v>739</v>
      </c>
      <c r="I58" s="85">
        <f>+Workings!E106+Workings!E108</f>
        <v>772</v>
      </c>
      <c r="J58" s="9"/>
      <c r="K58" s="1"/>
      <c r="L58" s="1"/>
      <c r="M58" s="85">
        <f>186+589</f>
        <v>775</v>
      </c>
      <c r="N58" s="1"/>
      <c r="O58" s="1"/>
      <c r="P58" s="1"/>
      <c r="Q58" s="1"/>
    </row>
    <row r="59" spans="1:17" ht="10.5" customHeight="1">
      <c r="A59" s="1"/>
      <c r="C59" s="4"/>
      <c r="F59" s="4"/>
      <c r="G59" s="4"/>
      <c r="H59" s="88"/>
      <c r="I59" s="88"/>
      <c r="J59" s="9"/>
      <c r="K59" s="1"/>
      <c r="L59" s="1"/>
      <c r="M59" s="88"/>
      <c r="N59" s="1"/>
      <c r="O59" s="1"/>
      <c r="P59" s="1"/>
      <c r="Q59" s="1"/>
    </row>
    <row r="60" spans="1:17" ht="15.75" thickBot="1">
      <c r="A60" s="1"/>
      <c r="C60" s="4"/>
      <c r="F60" s="4"/>
      <c r="G60" s="4"/>
      <c r="H60" s="92">
        <f>SUM(H51:H59)</f>
        <v>227478</v>
      </c>
      <c r="I60" s="92">
        <f>SUM(I51:I59)</f>
        <v>215959</v>
      </c>
      <c r="J60" s="9"/>
      <c r="K60" s="1"/>
      <c r="L60" s="1"/>
      <c r="M60" s="92">
        <f>SUM(M51:M59)</f>
        <v>235133</v>
      </c>
      <c r="N60" s="1"/>
      <c r="O60" s="1"/>
      <c r="P60" s="1"/>
      <c r="Q60" s="1"/>
    </row>
    <row r="61" spans="1:17" ht="15.75" thickTop="1">
      <c r="A61" s="1"/>
      <c r="C61" s="4"/>
      <c r="F61" s="4"/>
      <c r="G61" s="4"/>
      <c r="H61" s="90">
        <f>+H45-H60</f>
        <v>0</v>
      </c>
      <c r="I61" s="90">
        <f>+I45-I60</f>
        <v>0</v>
      </c>
      <c r="J61" s="9"/>
      <c r="K61" s="1"/>
      <c r="L61" s="1"/>
      <c r="M61" s="90"/>
      <c r="N61" s="1"/>
      <c r="O61" s="1"/>
      <c r="P61" s="1"/>
      <c r="Q61" s="1"/>
    </row>
    <row r="62" spans="1:17" ht="15">
      <c r="A62" s="1"/>
      <c r="B62" s="4" t="s">
        <v>71</v>
      </c>
      <c r="C62" s="4"/>
      <c r="F62" s="4"/>
      <c r="G62" s="4"/>
      <c r="H62" s="122">
        <f>(H51-H17-H16-H21)/259488</f>
        <v>0.4533041990381058</v>
      </c>
      <c r="I62" s="122">
        <f>(I51-I17-I16-I21)/+(+I47*2)</f>
        <v>0.45660347100958626</v>
      </c>
      <c r="J62" s="9"/>
      <c r="K62" s="1"/>
      <c r="L62" s="1"/>
      <c r="M62" s="122">
        <f>(M51-M17-M16-M21)/259488</f>
        <v>0.4807582624244666</v>
      </c>
      <c r="N62" s="1"/>
      <c r="O62" s="1"/>
      <c r="P62" s="1"/>
      <c r="Q62" s="1"/>
    </row>
    <row r="63" spans="1:17" ht="15">
      <c r="A63" s="1"/>
      <c r="C63" s="4"/>
      <c r="F63" s="4"/>
      <c r="G63" s="4"/>
      <c r="H63" s="90"/>
      <c r="I63" s="90"/>
      <c r="J63" s="9"/>
      <c r="K63" s="1"/>
      <c r="L63" s="1"/>
      <c r="M63" s="90"/>
      <c r="N63" s="1"/>
      <c r="O63" s="1"/>
      <c r="P63" s="1"/>
      <c r="Q63" s="1"/>
    </row>
    <row r="64" spans="1:17" ht="15">
      <c r="A64" s="1"/>
      <c r="B64" s="571" t="s">
        <v>564</v>
      </c>
      <c r="C64" s="572"/>
      <c r="D64" s="572"/>
      <c r="E64" s="572"/>
      <c r="F64" s="572"/>
      <c r="G64" s="572"/>
      <c r="H64" s="572"/>
      <c r="I64" s="572"/>
      <c r="J64" s="9"/>
      <c r="K64" s="1"/>
      <c r="L64" s="1"/>
      <c r="M64" s="1"/>
      <c r="N64" s="1"/>
      <c r="O64" s="1"/>
      <c r="P64" s="1"/>
      <c r="Q64" s="1"/>
    </row>
    <row r="65" spans="1:17" ht="15">
      <c r="A65" s="1"/>
      <c r="B65" s="572"/>
      <c r="C65" s="572"/>
      <c r="D65" s="572"/>
      <c r="E65" s="572"/>
      <c r="F65" s="572"/>
      <c r="G65" s="572"/>
      <c r="H65" s="572"/>
      <c r="I65" s="572"/>
      <c r="J65" s="9"/>
      <c r="K65" s="1"/>
      <c r="L65" s="1"/>
      <c r="M65" s="1"/>
      <c r="N65" s="1"/>
      <c r="O65" s="1"/>
      <c r="P65" s="1"/>
      <c r="Q65" s="1"/>
    </row>
    <row r="66" spans="1:17" ht="15">
      <c r="A66" s="1"/>
      <c r="B66" s="2"/>
      <c r="C66" s="2"/>
      <c r="D66" s="2"/>
      <c r="E66" s="2"/>
      <c r="F66" s="2"/>
      <c r="H66" s="6"/>
      <c r="I66" s="6"/>
      <c r="J66" s="9"/>
      <c r="K66" s="1"/>
      <c r="L66" s="1"/>
      <c r="M66" s="6"/>
      <c r="N66" s="1"/>
      <c r="O66" s="1"/>
      <c r="P66" s="1"/>
      <c r="Q66" s="1"/>
    </row>
    <row r="67" spans="1:17" ht="15">
      <c r="A67" s="1"/>
      <c r="B67" s="59"/>
      <c r="C67" s="60"/>
      <c r="D67" s="59"/>
      <c r="E67" s="59"/>
      <c r="F67" s="64"/>
      <c r="G67" s="64"/>
      <c r="H67" s="64"/>
      <c r="I67" s="64"/>
      <c r="J67" s="1"/>
      <c r="K67" s="1"/>
      <c r="L67" s="1"/>
      <c r="M67" s="64"/>
      <c r="N67" s="1"/>
      <c r="O67" s="1"/>
      <c r="P67" s="1"/>
      <c r="Q67" s="1"/>
    </row>
    <row r="68" spans="1:17" ht="15">
      <c r="A68" s="1"/>
      <c r="B68" s="59"/>
      <c r="C68" s="60"/>
      <c r="D68" s="59"/>
      <c r="E68" s="59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1:17" ht="15">
      <c r="A69" s="1"/>
      <c r="B69" s="59"/>
      <c r="C69" s="60"/>
      <c r="D69" s="59"/>
      <c r="E69" s="59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</row>
    <row r="70" spans="1:17" ht="15">
      <c r="A70" s="1"/>
      <c r="B70" s="59"/>
      <c r="C70" s="60"/>
      <c r="D70" s="59"/>
      <c r="E70" s="59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</row>
    <row r="71" spans="1:17" ht="15">
      <c r="A71" s="1"/>
      <c r="B71" s="59"/>
      <c r="C71" s="60"/>
      <c r="D71" s="59"/>
      <c r="E71" s="59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7" ht="15">
      <c r="A72" s="1"/>
      <c r="B72" s="59"/>
      <c r="C72" s="60"/>
      <c r="D72" s="59"/>
      <c r="E72" s="59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</row>
    <row r="73" spans="1:17" ht="15">
      <c r="A73" s="1"/>
      <c r="B73" s="59"/>
      <c r="C73" s="60"/>
      <c r="D73" s="59"/>
      <c r="E73" s="59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</row>
    <row r="74" spans="1:17" ht="15">
      <c r="A74" s="1"/>
      <c r="B74" s="59"/>
      <c r="C74" s="60"/>
      <c r="D74" s="59"/>
      <c r="E74" s="59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</row>
    <row r="75" spans="1:17" ht="15">
      <c r="A75" s="1"/>
      <c r="B75" s="59"/>
      <c r="C75" s="60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</row>
    <row r="76" spans="1:17" ht="15">
      <c r="A76" s="1"/>
      <c r="B76" s="59"/>
      <c r="C76" s="60"/>
      <c r="D76" s="59"/>
      <c r="E76" s="59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</row>
    <row r="77" spans="1:17" ht="15">
      <c r="A77" s="1"/>
      <c r="B77" s="59"/>
      <c r="C77" s="60"/>
      <c r="D77" s="59"/>
      <c r="E77" s="59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</row>
    <row r="78" spans="1:17" ht="15">
      <c r="A78" s="1"/>
      <c r="B78" s="59"/>
      <c r="C78" s="60"/>
      <c r="D78" s="59"/>
      <c r="E78" s="59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</row>
    <row r="79" spans="1:17" ht="15">
      <c r="A79" s="1"/>
      <c r="B79" s="59"/>
      <c r="C79" s="60"/>
      <c r="D79" s="59"/>
      <c r="E79" s="59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</row>
    <row r="80" spans="1:17" ht="15">
      <c r="A80" s="1"/>
      <c r="B80" s="59"/>
      <c r="C80" s="60"/>
      <c r="D80" s="59"/>
      <c r="E80" s="59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1:17" ht="15">
      <c r="A81" s="1"/>
      <c r="B81" s="59"/>
      <c r="C81" s="60"/>
      <c r="D81" s="59"/>
      <c r="E81" s="59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</row>
    <row r="82" spans="1:17" ht="15">
      <c r="A82" s="1"/>
      <c r="B82" s="59"/>
      <c r="C82" s="60"/>
      <c r="D82" s="59"/>
      <c r="E82" s="59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</row>
    <row r="83" spans="1:17" ht="15">
      <c r="A83" s="1"/>
      <c r="B83" s="59"/>
      <c r="C83" s="60"/>
      <c r="D83" s="59"/>
      <c r="E83" s="59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</row>
    <row r="84" spans="1:17" ht="15">
      <c r="A84" s="1"/>
      <c r="B84" s="59"/>
      <c r="C84" s="60"/>
      <c r="D84" s="59"/>
      <c r="E84" s="59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</row>
    <row r="85" spans="1:17" ht="15">
      <c r="A85" s="1"/>
      <c r="B85" s="59"/>
      <c r="C85" s="60"/>
      <c r="D85" s="59"/>
      <c r="E85" s="59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</row>
    <row r="86" spans="1:17" ht="15">
      <c r="A86" s="1"/>
      <c r="B86" s="59"/>
      <c r="C86" s="60"/>
      <c r="D86" s="59"/>
      <c r="E86" s="59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</row>
    <row r="87" spans="1:17" ht="15">
      <c r="A87" s="1"/>
      <c r="B87" s="59"/>
      <c r="C87" s="60"/>
      <c r="D87" s="59"/>
      <c r="E87" s="59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</row>
    <row r="88" spans="1:17" ht="15">
      <c r="A88" s="1"/>
      <c r="B88" s="59"/>
      <c r="C88" s="60"/>
      <c r="D88" s="59"/>
      <c r="E88" s="59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</row>
    <row r="89" spans="1:17" ht="15">
      <c r="A89" s="1"/>
      <c r="B89" s="59"/>
      <c r="C89" s="60"/>
      <c r="D89" s="59"/>
      <c r="E89" s="59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</row>
    <row r="90" spans="1:17" ht="15">
      <c r="A90" s="1"/>
      <c r="B90" s="59"/>
      <c r="C90" s="60"/>
      <c r="D90" s="59"/>
      <c r="E90" s="59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</row>
    <row r="91" spans="1:17" ht="15">
      <c r="A91" s="1"/>
      <c r="B91" s="59"/>
      <c r="C91" s="60"/>
      <c r="D91" s="59"/>
      <c r="E91" s="59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</row>
    <row r="92" spans="1:17" ht="15">
      <c r="A92" s="1"/>
      <c r="B92" s="59"/>
      <c r="C92" s="60"/>
      <c r="D92" s="59"/>
      <c r="E92" s="59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</row>
    <row r="93" spans="7:17" ht="15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7:17" ht="15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7:17" ht="15"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</sheetData>
  <mergeCells count="6">
    <mergeCell ref="B64:I65"/>
    <mergeCell ref="B4:I4"/>
    <mergeCell ref="B6:I6"/>
    <mergeCell ref="B8:I8"/>
    <mergeCell ref="B9:I9"/>
    <mergeCell ref="B5:I5"/>
  </mergeCells>
  <printOptions/>
  <pageMargins left="0.75" right="0.37" top="0.56" bottom="0.33" header="0.42" footer="0.24"/>
  <pageSetup fitToHeight="1" fitToWidth="1" horizontalDpi="360" verticalDpi="36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workbookViewId="0" topLeftCell="A1">
      <selection activeCell="A43" sqref="A43"/>
    </sheetView>
  </sheetViews>
  <sheetFormatPr defaultColWidth="8.88671875" defaultRowHeight="15"/>
  <cols>
    <col min="1" max="1" width="8.88671875" style="2" customWidth="1"/>
    <col min="2" max="2" width="27.4453125" style="4" customWidth="1"/>
    <col min="3" max="3" width="11.3359375" style="4" customWidth="1"/>
    <col min="4" max="4" width="10.3359375" style="4" customWidth="1"/>
    <col min="5" max="5" width="10.6640625" style="2" customWidth="1"/>
    <col min="6" max="6" width="9.88671875" style="3" customWidth="1"/>
    <col min="7" max="9" width="13.6640625" style="3" customWidth="1"/>
    <col min="10" max="10" width="8.88671875" style="3" customWidth="1"/>
    <col min="11" max="16384" width="8.88671875" style="2" customWidth="1"/>
  </cols>
  <sheetData>
    <row r="1" spans="1:11" ht="15">
      <c r="A1" s="1"/>
      <c r="B1" s="59"/>
      <c r="C1" s="59"/>
      <c r="D1" s="59"/>
      <c r="E1" s="1"/>
      <c r="F1" s="64"/>
      <c r="G1" s="64"/>
      <c r="H1" s="64"/>
      <c r="I1" s="64"/>
      <c r="J1" s="64"/>
      <c r="K1" s="1"/>
    </row>
    <row r="2" spans="1:11" ht="15.75">
      <c r="A2" s="1"/>
      <c r="B2" s="562" t="str">
        <f>CIS!B2</f>
        <v>TAMCO CORPORATE HOLDINGS BERHAD</v>
      </c>
      <c r="C2" s="562"/>
      <c r="D2" s="562"/>
      <c r="E2" s="562"/>
      <c r="F2" s="562"/>
      <c r="G2" s="66"/>
      <c r="H2" s="66"/>
      <c r="I2" s="66"/>
      <c r="J2" s="64"/>
      <c r="K2" s="1"/>
    </row>
    <row r="3" spans="1:11" ht="15">
      <c r="A3" s="1"/>
      <c r="B3" s="578" t="s">
        <v>8</v>
      </c>
      <c r="C3" s="578"/>
      <c r="D3" s="578"/>
      <c r="E3" s="578"/>
      <c r="F3" s="578"/>
      <c r="G3" s="66"/>
      <c r="H3" s="66"/>
      <c r="I3" s="66"/>
      <c r="J3" s="64"/>
      <c r="K3" s="1"/>
    </row>
    <row r="4" spans="1:11" s="20" customFormat="1" ht="15">
      <c r="A4" s="61"/>
      <c r="B4" s="578" t="str">
        <f>CIS!B4</f>
        <v>(Company No : 6614-W)</v>
      </c>
      <c r="C4" s="578"/>
      <c r="D4" s="578"/>
      <c r="E4" s="578"/>
      <c r="F4" s="578"/>
      <c r="G4" s="67"/>
      <c r="H4" s="67"/>
      <c r="I4" s="67"/>
      <c r="J4" s="68"/>
      <c r="K4" s="61"/>
    </row>
    <row r="5" spans="1:11" s="20" customFormat="1" ht="12">
      <c r="A5" s="61"/>
      <c r="B5" s="46"/>
      <c r="C5" s="46"/>
      <c r="F5" s="39"/>
      <c r="G5" s="68"/>
      <c r="H5" s="68"/>
      <c r="I5" s="68"/>
      <c r="J5" s="68"/>
      <c r="K5" s="61"/>
    </row>
    <row r="6" spans="1:11" s="20" customFormat="1" ht="15.75">
      <c r="A6" s="61"/>
      <c r="B6" s="562" t="s">
        <v>14</v>
      </c>
      <c r="C6" s="562"/>
      <c r="D6" s="562"/>
      <c r="E6" s="562"/>
      <c r="F6" s="562"/>
      <c r="G6" s="69"/>
      <c r="H6" s="69"/>
      <c r="I6" s="69"/>
      <c r="J6" s="68"/>
      <c r="K6" s="61"/>
    </row>
    <row r="7" spans="1:11" s="20" customFormat="1" ht="15.75">
      <c r="A7" s="61"/>
      <c r="B7" s="580" t="s">
        <v>319</v>
      </c>
      <c r="C7" s="580"/>
      <c r="D7" s="580"/>
      <c r="E7" s="580"/>
      <c r="F7" s="580"/>
      <c r="G7" s="75"/>
      <c r="H7" s="75"/>
      <c r="I7" s="75"/>
      <c r="J7" s="68"/>
      <c r="K7" s="61"/>
    </row>
    <row r="8" spans="1:11" s="20" customFormat="1" ht="15.75">
      <c r="A8" s="61"/>
      <c r="B8" s="21"/>
      <c r="C8" s="21"/>
      <c r="D8" s="21"/>
      <c r="E8" s="21"/>
      <c r="F8" s="21"/>
      <c r="G8" s="75"/>
      <c r="H8" s="75"/>
      <c r="I8" s="75"/>
      <c r="J8" s="68"/>
      <c r="K8" s="61"/>
    </row>
    <row r="9" spans="1:11" s="23" customFormat="1" ht="12.75">
      <c r="A9" s="62"/>
      <c r="B9" s="5"/>
      <c r="C9" s="24"/>
      <c r="D9" s="5"/>
      <c r="E9" s="25"/>
      <c r="F9" s="25"/>
      <c r="G9" s="70"/>
      <c r="H9" s="70"/>
      <c r="I9" s="70"/>
      <c r="J9" s="71"/>
      <c r="K9" s="62"/>
    </row>
    <row r="10" spans="1:11" s="23" customFormat="1" ht="25.5">
      <c r="A10" s="62"/>
      <c r="B10" s="5"/>
      <c r="C10" s="25"/>
      <c r="D10" s="126" t="s">
        <v>91</v>
      </c>
      <c r="E10" s="24" t="s">
        <v>15</v>
      </c>
      <c r="F10" s="25"/>
      <c r="G10" s="70"/>
      <c r="H10" s="70"/>
      <c r="I10" s="70"/>
      <c r="J10" s="71"/>
      <c r="K10" s="62"/>
    </row>
    <row r="11" spans="1:11" s="23" customFormat="1" ht="12.75">
      <c r="A11" s="62"/>
      <c r="B11" s="5"/>
      <c r="C11" s="25" t="s">
        <v>1</v>
      </c>
      <c r="D11" s="25" t="s">
        <v>4</v>
      </c>
      <c r="E11" s="24" t="s">
        <v>16</v>
      </c>
      <c r="F11" s="25"/>
      <c r="G11" s="70"/>
      <c r="H11" s="70"/>
      <c r="I11" s="70"/>
      <c r="J11" s="71"/>
      <c r="K11" s="62"/>
    </row>
    <row r="12" spans="1:11" s="23" customFormat="1" ht="12.75">
      <c r="A12" s="62"/>
      <c r="B12" s="5"/>
      <c r="C12" s="25" t="s">
        <v>2</v>
      </c>
      <c r="D12" s="25" t="s">
        <v>5</v>
      </c>
      <c r="E12" s="25" t="s">
        <v>3</v>
      </c>
      <c r="F12" s="25" t="s">
        <v>61</v>
      </c>
      <c r="G12" s="72"/>
      <c r="H12" s="72"/>
      <c r="I12" s="72"/>
      <c r="J12" s="71"/>
      <c r="K12" s="62"/>
    </row>
    <row r="13" spans="1:11" s="23" customFormat="1" ht="12.75">
      <c r="A13" s="62"/>
      <c r="B13" s="5"/>
      <c r="C13" s="25" t="s">
        <v>33</v>
      </c>
      <c r="D13" s="25" t="s">
        <v>33</v>
      </c>
      <c r="E13" s="25" t="s">
        <v>33</v>
      </c>
      <c r="F13" s="25" t="s">
        <v>33</v>
      </c>
      <c r="G13" s="70"/>
      <c r="H13" s="70"/>
      <c r="I13" s="70"/>
      <c r="J13" s="71"/>
      <c r="K13" s="62"/>
    </row>
    <row r="14" spans="1:11" s="20" customFormat="1" ht="12">
      <c r="A14" s="61"/>
      <c r="C14" s="42"/>
      <c r="D14" s="42"/>
      <c r="F14" s="43"/>
      <c r="G14" s="73"/>
      <c r="H14" s="73"/>
      <c r="I14" s="73"/>
      <c r="J14" s="68"/>
      <c r="K14" s="61"/>
    </row>
    <row r="15" spans="1:11" s="20" customFormat="1" ht="12">
      <c r="A15" s="61"/>
      <c r="B15" s="81" t="s">
        <v>320</v>
      </c>
      <c r="C15" s="42"/>
      <c r="D15" s="42"/>
      <c r="F15" s="43"/>
      <c r="G15" s="73"/>
      <c r="H15" s="73"/>
      <c r="I15" s="73"/>
      <c r="J15" s="68"/>
      <c r="K15" s="61"/>
    </row>
    <row r="16" spans="1:11" s="20" customFormat="1" ht="12">
      <c r="A16" s="61"/>
      <c r="B16" s="45"/>
      <c r="C16" s="42"/>
      <c r="D16" s="42"/>
      <c r="F16" s="43"/>
      <c r="G16" s="73"/>
      <c r="H16" s="73"/>
      <c r="I16" s="73"/>
      <c r="J16" s="68"/>
      <c r="K16" s="61"/>
    </row>
    <row r="17" spans="1:11" s="20" customFormat="1" ht="12.75">
      <c r="A17" s="61"/>
      <c r="B17" s="26" t="s">
        <v>102</v>
      </c>
      <c r="C17" s="16">
        <v>112244</v>
      </c>
      <c r="D17" s="16">
        <v>-3996</v>
      </c>
      <c r="E17" s="15">
        <v>22337</v>
      </c>
      <c r="F17" s="27">
        <f>SUM(C17:E17)</f>
        <v>130585</v>
      </c>
      <c r="G17" s="73"/>
      <c r="H17" s="73"/>
      <c r="I17" s="73"/>
      <c r="J17" s="68"/>
      <c r="K17" s="61"/>
    </row>
    <row r="18" spans="1:11" s="20" customFormat="1" ht="12.75">
      <c r="A18" s="61"/>
      <c r="B18" s="26"/>
      <c r="C18" s="16"/>
      <c r="D18" s="16"/>
      <c r="E18" s="15"/>
      <c r="F18" s="27"/>
      <c r="G18" s="73"/>
      <c r="H18" s="73"/>
      <c r="I18" s="73"/>
      <c r="J18" s="68"/>
      <c r="K18" s="61"/>
    </row>
    <row r="19" spans="1:11" s="20" customFormat="1" ht="12.75">
      <c r="A19" s="61"/>
      <c r="B19" s="26" t="s">
        <v>88</v>
      </c>
      <c r="C19" s="16">
        <v>17500</v>
      </c>
      <c r="D19" s="16">
        <v>0</v>
      </c>
      <c r="E19" s="15">
        <v>0</v>
      </c>
      <c r="F19" s="27">
        <f>SUM(C19:E19)</f>
        <v>17500</v>
      </c>
      <c r="G19" s="73"/>
      <c r="H19" s="73"/>
      <c r="I19" s="73"/>
      <c r="J19" s="68"/>
      <c r="K19" s="61"/>
    </row>
    <row r="20" spans="1:11" s="20" customFormat="1" ht="12.75">
      <c r="A20" s="61"/>
      <c r="B20" s="26"/>
      <c r="C20" s="16"/>
      <c r="D20" s="16"/>
      <c r="E20" s="15"/>
      <c r="F20" s="27"/>
      <c r="G20" s="73"/>
      <c r="H20" s="73"/>
      <c r="I20" s="73"/>
      <c r="J20" s="68"/>
      <c r="K20" s="61"/>
    </row>
    <row r="21" spans="1:11" s="20" customFormat="1" ht="12.75">
      <c r="A21" s="61"/>
      <c r="B21" s="26" t="s">
        <v>73</v>
      </c>
      <c r="C21" s="16">
        <v>0</v>
      </c>
      <c r="D21" s="16">
        <v>544</v>
      </c>
      <c r="E21" s="15">
        <v>0</v>
      </c>
      <c r="F21" s="27">
        <f>SUM(C21:E21)</f>
        <v>544</v>
      </c>
      <c r="G21" s="73"/>
      <c r="H21" s="73"/>
      <c r="I21" s="73"/>
      <c r="J21" s="68"/>
      <c r="K21" s="61"/>
    </row>
    <row r="22" spans="1:11" s="20" customFormat="1" ht="12.75">
      <c r="A22" s="61"/>
      <c r="B22" s="26"/>
      <c r="C22" s="16"/>
      <c r="D22" s="16"/>
      <c r="E22" s="15"/>
      <c r="F22" s="27"/>
      <c r="G22" s="73"/>
      <c r="H22" s="73"/>
      <c r="I22" s="73"/>
      <c r="J22" s="68"/>
      <c r="K22" s="61"/>
    </row>
    <row r="23" spans="1:11" s="20" customFormat="1" ht="12.75">
      <c r="A23" s="61"/>
      <c r="B23" s="30" t="s">
        <v>30</v>
      </c>
      <c r="C23" s="29">
        <v>0</v>
      </c>
      <c r="D23" s="29">
        <v>0</v>
      </c>
      <c r="E23" s="28">
        <v>-5957</v>
      </c>
      <c r="F23" s="27">
        <f>SUM(C23:E23)</f>
        <v>-5957</v>
      </c>
      <c r="G23" s="74"/>
      <c r="H23" s="74"/>
      <c r="I23" s="74"/>
      <c r="J23" s="68"/>
      <c r="K23" s="61"/>
    </row>
    <row r="24" spans="1:11" s="20" customFormat="1" ht="12.75">
      <c r="A24" s="61"/>
      <c r="B24" s="32"/>
      <c r="C24" s="29"/>
      <c r="D24" s="29"/>
      <c r="E24" s="28"/>
      <c r="F24" s="27"/>
      <c r="G24" s="74"/>
      <c r="H24" s="74"/>
      <c r="I24" s="74"/>
      <c r="J24" s="68"/>
      <c r="K24" s="61"/>
    </row>
    <row r="25" spans="1:11" s="20" customFormat="1" ht="12.75">
      <c r="A25" s="61"/>
      <c r="B25" s="26" t="s">
        <v>62</v>
      </c>
      <c r="C25" s="29">
        <v>0</v>
      </c>
      <c r="D25" s="29">
        <v>0</v>
      </c>
      <c r="E25" s="28">
        <v>0</v>
      </c>
      <c r="F25" s="27">
        <f>SUM(C25:E25)</f>
        <v>0</v>
      </c>
      <c r="G25" s="74"/>
      <c r="H25" s="74"/>
      <c r="I25" s="74"/>
      <c r="J25" s="68"/>
      <c r="K25" s="61"/>
    </row>
    <row r="26" spans="1:11" s="20" customFormat="1" ht="12.75">
      <c r="A26" s="61"/>
      <c r="B26" s="32"/>
      <c r="C26" s="29"/>
      <c r="D26" s="29"/>
      <c r="E26" s="28"/>
      <c r="F26" s="27"/>
      <c r="G26" s="74"/>
      <c r="H26" s="74"/>
      <c r="I26" s="74"/>
      <c r="J26" s="68"/>
      <c r="K26" s="61"/>
    </row>
    <row r="27" spans="1:11" s="20" customFormat="1" ht="13.5" thickBot="1">
      <c r="A27" s="61"/>
      <c r="B27" s="4" t="s">
        <v>318</v>
      </c>
      <c r="C27" s="48">
        <f>SUM(C17:C24)</f>
        <v>129744</v>
      </c>
      <c r="D27" s="48">
        <f>SUM(D17:D24)</f>
        <v>-3452</v>
      </c>
      <c r="E27" s="48">
        <f>SUM(E17:E26)</f>
        <v>16380</v>
      </c>
      <c r="F27" s="48">
        <f>SUM(F17:F26)</f>
        <v>142672</v>
      </c>
      <c r="G27" s="74">
        <f>+F27-CBS!H51</f>
        <v>0</v>
      </c>
      <c r="H27" s="74"/>
      <c r="I27" s="74"/>
      <c r="J27" s="68"/>
      <c r="K27" s="61"/>
    </row>
    <row r="28" spans="1:11" s="20" customFormat="1" ht="13.5" thickTop="1">
      <c r="A28" s="61"/>
      <c r="B28" s="4"/>
      <c r="C28" s="29"/>
      <c r="D28" s="29"/>
      <c r="E28" s="39"/>
      <c r="F28" s="29"/>
      <c r="G28" s="74"/>
      <c r="H28" s="74"/>
      <c r="I28" s="74"/>
      <c r="J28" s="68"/>
      <c r="K28" s="61"/>
    </row>
    <row r="29" spans="1:11" ht="15">
      <c r="A29" s="1"/>
      <c r="B29" s="32"/>
      <c r="C29" s="29"/>
      <c r="D29" s="29"/>
      <c r="E29" s="51"/>
      <c r="F29" s="29"/>
      <c r="G29" s="74"/>
      <c r="H29" s="74"/>
      <c r="I29" s="74"/>
      <c r="J29" s="64"/>
      <c r="K29" s="1"/>
    </row>
    <row r="30" spans="1:11" ht="15">
      <c r="A30" s="1"/>
      <c r="B30" s="81" t="s">
        <v>438</v>
      </c>
      <c r="C30" s="42"/>
      <c r="D30" s="42"/>
      <c r="E30" s="20"/>
      <c r="F30" s="43"/>
      <c r="G30" s="74"/>
      <c r="H30" s="74"/>
      <c r="I30" s="74"/>
      <c r="J30" s="64"/>
      <c r="K30" s="1"/>
    </row>
    <row r="31" spans="1:11" ht="15">
      <c r="A31" s="1"/>
      <c r="B31" s="45"/>
      <c r="C31" s="42"/>
      <c r="D31" s="42"/>
      <c r="E31" s="20"/>
      <c r="F31" s="43"/>
      <c r="G31" s="74"/>
      <c r="H31" s="74"/>
      <c r="I31" s="74"/>
      <c r="J31" s="64"/>
      <c r="K31" s="1"/>
    </row>
    <row r="32" spans="1:11" ht="15">
      <c r="A32" s="1"/>
      <c r="B32" s="26" t="s">
        <v>68</v>
      </c>
      <c r="C32" s="16">
        <v>28400</v>
      </c>
      <c r="D32" s="16">
        <v>1632</v>
      </c>
      <c r="E32" s="15">
        <v>9473</v>
      </c>
      <c r="F32" s="27">
        <f>SUM(C32:E32)</f>
        <v>39505</v>
      </c>
      <c r="G32" s="74"/>
      <c r="H32" s="74"/>
      <c r="I32" s="74"/>
      <c r="J32" s="64"/>
      <c r="K32" s="1"/>
    </row>
    <row r="33" spans="1:11" ht="15">
      <c r="A33" s="1"/>
      <c r="B33" s="26"/>
      <c r="C33" s="16"/>
      <c r="D33" s="16"/>
      <c r="E33" s="15"/>
      <c r="F33" s="27"/>
      <c r="G33" s="74"/>
      <c r="H33" s="74"/>
      <c r="I33" s="74"/>
      <c r="J33" s="64"/>
      <c r="K33" s="1"/>
    </row>
    <row r="34" spans="1:11" ht="15">
      <c r="A34" s="1"/>
      <c r="B34" s="26" t="s">
        <v>88</v>
      </c>
      <c r="C34" s="16">
        <v>103844</v>
      </c>
      <c r="D34" s="16">
        <v>0</v>
      </c>
      <c r="E34" s="15">
        <v>0</v>
      </c>
      <c r="F34" s="27">
        <f>SUM(C34:E34)</f>
        <v>103844</v>
      </c>
      <c r="G34" s="74"/>
      <c r="H34" s="74"/>
      <c r="I34" s="74"/>
      <c r="J34" s="64"/>
      <c r="K34" s="1"/>
    </row>
    <row r="35" spans="1:11" ht="15">
      <c r="A35" s="1"/>
      <c r="B35" s="26"/>
      <c r="C35" s="16"/>
      <c r="D35" s="16"/>
      <c r="E35" s="15"/>
      <c r="F35" s="27"/>
      <c r="G35" s="74"/>
      <c r="H35" s="74"/>
      <c r="I35" s="74"/>
      <c r="J35" s="64"/>
      <c r="K35" s="1"/>
    </row>
    <row r="36" spans="1:11" ht="15">
      <c r="A36" s="1"/>
      <c r="B36" s="26" t="s">
        <v>89</v>
      </c>
      <c r="C36" s="16">
        <v>-20000</v>
      </c>
      <c r="D36" s="16">
        <v>0</v>
      </c>
      <c r="E36" s="15">
        <v>0</v>
      </c>
      <c r="F36" s="27">
        <f>SUM(C36:E36)</f>
        <v>-20000</v>
      </c>
      <c r="G36" s="74"/>
      <c r="H36" s="74"/>
      <c r="I36" s="74"/>
      <c r="J36" s="64"/>
      <c r="K36" s="1"/>
    </row>
    <row r="37" spans="1:11" ht="15">
      <c r="A37" s="1"/>
      <c r="B37" s="26"/>
      <c r="C37" s="16"/>
      <c r="D37" s="16"/>
      <c r="E37" s="15"/>
      <c r="F37" s="27"/>
      <c r="G37" s="74"/>
      <c r="H37" s="74"/>
      <c r="I37" s="74"/>
      <c r="J37" s="64"/>
      <c r="K37" s="1"/>
    </row>
    <row r="38" spans="1:11" ht="15">
      <c r="A38" s="1"/>
      <c r="B38" s="26" t="s">
        <v>73</v>
      </c>
      <c r="C38" s="16">
        <v>0</v>
      </c>
      <c r="D38" s="16">
        <f>-1303-D32</f>
        <v>-2935</v>
      </c>
      <c r="E38" s="15">
        <v>0</v>
      </c>
      <c r="F38" s="27">
        <f>SUM(C38:E38)</f>
        <v>-2935</v>
      </c>
      <c r="G38" s="74"/>
      <c r="H38" s="74"/>
      <c r="I38" s="74"/>
      <c r="J38" s="64"/>
      <c r="K38" s="1"/>
    </row>
    <row r="39" spans="1:11" ht="15">
      <c r="A39" s="1"/>
      <c r="B39" s="26"/>
      <c r="C39" s="16"/>
      <c r="D39" s="16"/>
      <c r="E39" s="15"/>
      <c r="F39" s="27"/>
      <c r="G39" s="74"/>
      <c r="H39" s="74"/>
      <c r="I39" s="74"/>
      <c r="J39" s="64"/>
      <c r="K39" s="1"/>
    </row>
    <row r="40" spans="1:11" ht="15">
      <c r="A40" s="1"/>
      <c r="B40" s="30" t="s">
        <v>30</v>
      </c>
      <c r="C40" s="29">
        <v>0</v>
      </c>
      <c r="D40" s="29">
        <v>0</v>
      </c>
      <c r="E40" s="28">
        <f>CIS!H46</f>
        <v>253</v>
      </c>
      <c r="F40" s="27">
        <f>SUM(C40:E40)</f>
        <v>253</v>
      </c>
      <c r="G40" s="74"/>
      <c r="H40" s="74"/>
      <c r="I40" s="74"/>
      <c r="J40" s="64"/>
      <c r="K40" s="1"/>
    </row>
    <row r="41" spans="1:11" ht="15">
      <c r="A41" s="1"/>
      <c r="B41" s="32"/>
      <c r="C41" s="29"/>
      <c r="D41" s="29"/>
      <c r="E41" s="28"/>
      <c r="F41" s="27"/>
      <c r="G41" s="74"/>
      <c r="H41" s="74"/>
      <c r="I41" s="74"/>
      <c r="J41" s="64"/>
      <c r="K41" s="1"/>
    </row>
    <row r="42" spans="1:11" ht="15">
      <c r="A42" s="1"/>
      <c r="B42" s="26" t="s">
        <v>62</v>
      </c>
      <c r="C42" s="29">
        <v>0</v>
      </c>
      <c r="D42" s="29">
        <v>0</v>
      </c>
      <c r="E42" s="28">
        <v>0</v>
      </c>
      <c r="F42" s="27">
        <f>SUM(C42:E42)</f>
        <v>0</v>
      </c>
      <c r="G42" s="74"/>
      <c r="H42" s="74"/>
      <c r="I42" s="74"/>
      <c r="J42" s="64"/>
      <c r="K42" s="1"/>
    </row>
    <row r="43" spans="1:11" ht="15">
      <c r="A43" s="1"/>
      <c r="B43" s="32"/>
      <c r="C43" s="29"/>
      <c r="D43" s="29"/>
      <c r="E43" s="28"/>
      <c r="F43" s="27"/>
      <c r="G43" s="74"/>
      <c r="H43" s="74"/>
      <c r="I43" s="74"/>
      <c r="J43" s="64"/>
      <c r="K43" s="1"/>
    </row>
    <row r="44" spans="1:11" ht="15.75" thickBot="1">
      <c r="A44" s="1"/>
      <c r="B44" s="4" t="s">
        <v>439</v>
      </c>
      <c r="C44" s="48">
        <f>SUM(C32:C41)</f>
        <v>112244</v>
      </c>
      <c r="D44" s="48">
        <f>SUM(D32:D41)</f>
        <v>-1303</v>
      </c>
      <c r="E44" s="48">
        <f>SUM(E32:E43)</f>
        <v>9726</v>
      </c>
      <c r="F44" s="48">
        <f>SUM(F32:F43)</f>
        <v>120667</v>
      </c>
      <c r="G44" s="74"/>
      <c r="H44" s="74"/>
      <c r="I44" s="74"/>
      <c r="J44" s="64"/>
      <c r="K44" s="1"/>
    </row>
    <row r="45" spans="1:11" ht="15.75" thickTop="1">
      <c r="A45" s="1"/>
      <c r="C45" s="29"/>
      <c r="D45" s="29"/>
      <c r="E45" s="39"/>
      <c r="F45" s="29"/>
      <c r="G45" s="74"/>
      <c r="H45" s="74"/>
      <c r="I45" s="74"/>
      <c r="J45" s="64"/>
      <c r="K45" s="1"/>
    </row>
    <row r="46" spans="1:11" ht="15">
      <c r="A46" s="1"/>
      <c r="B46" s="32"/>
      <c r="C46" s="29"/>
      <c r="D46" s="29"/>
      <c r="E46" s="51"/>
      <c r="F46" s="29"/>
      <c r="G46" s="74"/>
      <c r="H46" s="74"/>
      <c r="I46" s="74"/>
      <c r="J46" s="64"/>
      <c r="K46" s="1"/>
    </row>
    <row r="47" spans="1:11" ht="15">
      <c r="A47" s="1"/>
      <c r="B47" s="32"/>
      <c r="C47" s="29"/>
      <c r="D47" s="29"/>
      <c r="E47" s="51"/>
      <c r="F47" s="29"/>
      <c r="G47" s="74"/>
      <c r="H47" s="74"/>
      <c r="I47" s="74"/>
      <c r="J47" s="64"/>
      <c r="K47" s="1"/>
    </row>
    <row r="48" spans="1:11" ht="15">
      <c r="A48" s="1"/>
      <c r="B48" s="569" t="s">
        <v>565</v>
      </c>
      <c r="C48" s="570"/>
      <c r="D48" s="570"/>
      <c r="E48" s="570"/>
      <c r="F48" s="570"/>
      <c r="G48" s="74"/>
      <c r="H48" s="74"/>
      <c r="I48" s="74"/>
      <c r="J48" s="64"/>
      <c r="K48" s="1"/>
    </row>
    <row r="49" spans="1:11" ht="15">
      <c r="A49" s="1"/>
      <c r="B49" s="570"/>
      <c r="C49" s="570"/>
      <c r="D49" s="570"/>
      <c r="E49" s="570"/>
      <c r="F49" s="570"/>
      <c r="G49" s="76"/>
      <c r="H49" s="74"/>
      <c r="I49" s="74"/>
      <c r="J49" s="64"/>
      <c r="K49" s="1"/>
    </row>
    <row r="50" spans="1:11" ht="15">
      <c r="A50" s="1"/>
      <c r="B50" s="49"/>
      <c r="C50" s="49"/>
      <c r="D50" s="74"/>
      <c r="E50" s="64"/>
      <c r="F50" s="74"/>
      <c r="G50" s="74"/>
      <c r="H50" s="74"/>
      <c r="I50" s="74"/>
      <c r="J50" s="64"/>
      <c r="K50" s="1"/>
    </row>
    <row r="51" spans="1:11" ht="15">
      <c r="A51" s="1"/>
      <c r="B51" s="49"/>
      <c r="C51" s="49"/>
      <c r="D51" s="74"/>
      <c r="E51" s="64"/>
      <c r="F51" s="74"/>
      <c r="G51" s="74"/>
      <c r="H51" s="74"/>
      <c r="I51" s="74"/>
      <c r="J51" s="64"/>
      <c r="K51" s="1"/>
    </row>
    <row r="52" spans="1:11" ht="15">
      <c r="A52" s="1"/>
      <c r="B52" s="50"/>
      <c r="C52" s="50"/>
      <c r="D52" s="74"/>
      <c r="E52" s="64"/>
      <c r="F52" s="74"/>
      <c r="G52" s="74"/>
      <c r="H52" s="74"/>
      <c r="I52" s="74"/>
      <c r="J52" s="64"/>
      <c r="K52" s="1"/>
    </row>
    <row r="53" spans="1:11" ht="15">
      <c r="A53" s="1"/>
      <c r="B53" s="50"/>
      <c r="C53" s="50"/>
      <c r="D53" s="74"/>
      <c r="E53" s="64"/>
      <c r="F53" s="74"/>
      <c r="G53" s="74"/>
      <c r="H53" s="74"/>
      <c r="I53" s="74"/>
      <c r="J53" s="64"/>
      <c r="K53" s="1"/>
    </row>
    <row r="54" spans="1:11" ht="15">
      <c r="A54" s="1"/>
      <c r="B54" s="50"/>
      <c r="C54" s="50"/>
      <c r="D54" s="74"/>
      <c r="E54" s="64"/>
      <c r="F54" s="74"/>
      <c r="G54" s="74"/>
      <c r="H54" s="74"/>
      <c r="I54" s="74"/>
      <c r="J54" s="64"/>
      <c r="K54" s="1"/>
    </row>
    <row r="55" spans="1:11" ht="15">
      <c r="A55" s="1"/>
      <c r="B55" s="59"/>
      <c r="C55" s="59"/>
      <c r="D55" s="74"/>
      <c r="E55" s="64"/>
      <c r="F55" s="74"/>
      <c r="G55" s="74"/>
      <c r="H55" s="74"/>
      <c r="I55" s="74"/>
      <c r="J55" s="64"/>
      <c r="K55" s="1"/>
    </row>
    <row r="56" spans="1:11" ht="15">
      <c r="A56" s="1"/>
      <c r="B56" s="50"/>
      <c r="C56" s="50"/>
      <c r="D56" s="63"/>
      <c r="E56" s="64"/>
      <c r="F56" s="77"/>
      <c r="G56" s="77"/>
      <c r="H56" s="74"/>
      <c r="I56" s="74"/>
      <c r="J56" s="64"/>
      <c r="K56" s="1"/>
    </row>
    <row r="57" spans="1:11" ht="15">
      <c r="A57" s="1"/>
      <c r="B57" s="50"/>
      <c r="C57" s="50"/>
      <c r="D57" s="63"/>
      <c r="E57" s="64"/>
      <c r="F57" s="76"/>
      <c r="G57" s="76"/>
      <c r="H57" s="74"/>
      <c r="I57" s="74"/>
      <c r="J57" s="64"/>
      <c r="K57" s="1"/>
    </row>
    <row r="58" spans="1:11" ht="15">
      <c r="A58" s="1"/>
      <c r="B58" s="59"/>
      <c r="C58" s="59"/>
      <c r="D58" s="63"/>
      <c r="E58" s="64"/>
      <c r="F58" s="77"/>
      <c r="G58" s="77"/>
      <c r="H58" s="74"/>
      <c r="I58" s="74"/>
      <c r="J58" s="64"/>
      <c r="K58" s="1"/>
    </row>
    <row r="59" spans="1:11" ht="15">
      <c r="A59" s="1"/>
      <c r="B59" s="59"/>
      <c r="C59" s="59"/>
      <c r="D59" s="63"/>
      <c r="E59" s="64"/>
      <c r="F59" s="77"/>
      <c r="G59" s="77"/>
      <c r="H59" s="74"/>
      <c r="I59" s="74"/>
      <c r="J59" s="64"/>
      <c r="K59" s="1"/>
    </row>
    <row r="60" spans="1:11" ht="15">
      <c r="A60" s="1"/>
      <c r="B60" s="59"/>
      <c r="C60" s="59"/>
      <c r="D60" s="63"/>
      <c r="E60" s="64"/>
      <c r="F60" s="77"/>
      <c r="G60" s="77"/>
      <c r="H60" s="74"/>
      <c r="I60" s="74"/>
      <c r="J60" s="64"/>
      <c r="K60" s="1"/>
    </row>
    <row r="61" spans="1:11" ht="15">
      <c r="A61" s="1"/>
      <c r="B61" s="59"/>
      <c r="C61" s="59"/>
      <c r="D61" s="63"/>
      <c r="E61" s="64"/>
      <c r="F61" s="76"/>
      <c r="G61" s="76"/>
      <c r="H61" s="74"/>
      <c r="I61" s="74"/>
      <c r="J61" s="64"/>
      <c r="K61" s="1"/>
    </row>
    <row r="62" spans="1:11" ht="15">
      <c r="A62" s="1"/>
      <c r="B62" s="59"/>
      <c r="C62" s="59"/>
      <c r="D62" s="63"/>
      <c r="E62" s="64"/>
      <c r="F62" s="76"/>
      <c r="G62" s="76"/>
      <c r="H62" s="74"/>
      <c r="I62" s="74"/>
      <c r="J62" s="64"/>
      <c r="K62" s="1"/>
    </row>
    <row r="63" spans="1:11" ht="15">
      <c r="A63" s="1"/>
      <c r="B63" s="59"/>
      <c r="C63" s="59"/>
      <c r="D63" s="74"/>
      <c r="E63" s="64"/>
      <c r="F63" s="74"/>
      <c r="G63" s="74"/>
      <c r="H63" s="74"/>
      <c r="I63" s="74"/>
      <c r="J63" s="64"/>
      <c r="K63" s="1"/>
    </row>
    <row r="64" spans="1:11" ht="15">
      <c r="A64" s="1"/>
      <c r="B64" s="59"/>
      <c r="C64" s="59"/>
      <c r="D64" s="74"/>
      <c r="E64" s="64"/>
      <c r="F64" s="74"/>
      <c r="G64" s="74"/>
      <c r="H64" s="74"/>
      <c r="I64" s="74"/>
      <c r="J64" s="64"/>
      <c r="K64" s="1"/>
    </row>
    <row r="65" spans="1:11" ht="15">
      <c r="A65" s="1"/>
      <c r="B65" s="59"/>
      <c r="C65" s="59"/>
      <c r="D65" s="74"/>
      <c r="E65" s="64"/>
      <c r="F65" s="74"/>
      <c r="G65" s="74"/>
      <c r="H65" s="74"/>
      <c r="I65" s="74"/>
      <c r="J65" s="64"/>
      <c r="K65" s="1"/>
    </row>
    <row r="66" spans="1:11" ht="15">
      <c r="A66" s="1"/>
      <c r="B66" s="59"/>
      <c r="C66" s="59"/>
      <c r="D66" s="74"/>
      <c r="E66" s="64"/>
      <c r="F66" s="74"/>
      <c r="G66" s="74"/>
      <c r="H66" s="74"/>
      <c r="I66" s="74"/>
      <c r="J66" s="64"/>
      <c r="K66" s="1"/>
    </row>
    <row r="67" spans="1:11" ht="15">
      <c r="A67" s="1"/>
      <c r="B67" s="59"/>
      <c r="C67" s="59"/>
      <c r="D67" s="36"/>
      <c r="E67" s="64"/>
      <c r="F67" s="78"/>
      <c r="G67" s="78"/>
      <c r="H67" s="74"/>
      <c r="I67" s="74"/>
      <c r="J67" s="64"/>
      <c r="K67" s="1"/>
    </row>
    <row r="68" spans="1:11" ht="15">
      <c r="A68" s="1"/>
      <c r="B68" s="59"/>
      <c r="C68" s="59"/>
      <c r="D68" s="36"/>
      <c r="E68" s="64"/>
      <c r="F68" s="79"/>
      <c r="G68" s="79"/>
      <c r="H68" s="74"/>
      <c r="I68" s="74"/>
      <c r="J68" s="64"/>
      <c r="K68" s="1"/>
    </row>
    <row r="69" spans="1:11" ht="15">
      <c r="A69" s="1"/>
      <c r="B69" s="50"/>
      <c r="C69" s="50"/>
      <c r="D69" s="74"/>
      <c r="E69" s="64"/>
      <c r="F69" s="74"/>
      <c r="G69" s="74"/>
      <c r="H69" s="74"/>
      <c r="I69" s="74"/>
      <c r="J69" s="64"/>
      <c r="K69" s="1"/>
    </row>
    <row r="70" spans="1:11" ht="15">
      <c r="A70" s="1"/>
      <c r="B70" s="59"/>
      <c r="C70" s="59"/>
      <c r="D70" s="36"/>
      <c r="E70" s="64"/>
      <c r="F70" s="79"/>
      <c r="G70" s="79"/>
      <c r="H70" s="74"/>
      <c r="I70" s="74"/>
      <c r="J70" s="64"/>
      <c r="K70" s="1"/>
    </row>
    <row r="71" spans="1:11" ht="15">
      <c r="A71" s="1"/>
      <c r="B71" s="59"/>
      <c r="C71" s="59"/>
      <c r="D71" s="74"/>
      <c r="E71" s="64"/>
      <c r="F71" s="74"/>
      <c r="G71" s="74"/>
      <c r="H71" s="74"/>
      <c r="I71" s="74"/>
      <c r="J71" s="64"/>
      <c r="K71" s="1"/>
    </row>
    <row r="72" spans="1:11" ht="15">
      <c r="A72" s="1"/>
      <c r="B72" s="59"/>
      <c r="C72" s="59"/>
      <c r="D72" s="36"/>
      <c r="E72" s="64"/>
      <c r="F72" s="79"/>
      <c r="G72" s="79"/>
      <c r="H72" s="74"/>
      <c r="I72" s="74"/>
      <c r="J72" s="64"/>
      <c r="K72" s="1"/>
    </row>
    <row r="73" spans="1:11" ht="15">
      <c r="A73" s="1"/>
      <c r="B73" s="59"/>
      <c r="C73" s="59"/>
      <c r="D73" s="74"/>
      <c r="E73" s="64"/>
      <c r="F73" s="74"/>
      <c r="G73" s="74"/>
      <c r="H73" s="74"/>
      <c r="I73" s="74"/>
      <c r="J73" s="64"/>
      <c r="K73" s="1"/>
    </row>
    <row r="74" spans="1:11" ht="15">
      <c r="A74" s="1"/>
      <c r="B74" s="59"/>
      <c r="C74" s="59"/>
      <c r="D74" s="63"/>
      <c r="E74" s="64"/>
      <c r="F74" s="76"/>
      <c r="G74" s="76"/>
      <c r="H74" s="74"/>
      <c r="I74" s="74"/>
      <c r="J74" s="64"/>
      <c r="K74" s="1"/>
    </row>
    <row r="75" spans="1:11" ht="15">
      <c r="A75" s="1"/>
      <c r="B75" s="59"/>
      <c r="C75" s="59"/>
      <c r="D75" s="63"/>
      <c r="E75" s="64"/>
      <c r="F75" s="77"/>
      <c r="G75" s="77"/>
      <c r="H75" s="74"/>
      <c r="I75" s="74"/>
      <c r="J75" s="64"/>
      <c r="K75" s="1"/>
    </row>
    <row r="76" spans="1:11" ht="15">
      <c r="A76" s="1"/>
      <c r="B76" s="59"/>
      <c r="C76" s="59"/>
      <c r="D76" s="63"/>
      <c r="E76" s="64"/>
      <c r="F76" s="76"/>
      <c r="G76" s="76"/>
      <c r="H76" s="74"/>
      <c r="I76" s="74"/>
      <c r="J76" s="64"/>
      <c r="K76" s="1"/>
    </row>
    <row r="77" spans="1:11" ht="15">
      <c r="A77" s="1"/>
      <c r="B77" s="50"/>
      <c r="C77" s="50"/>
      <c r="D77" s="37"/>
      <c r="E77" s="74"/>
      <c r="F77" s="80"/>
      <c r="G77" s="80"/>
      <c r="H77" s="74"/>
      <c r="I77" s="74"/>
      <c r="J77" s="64"/>
      <c r="K77" s="1"/>
    </row>
    <row r="78" spans="1:11" ht="15">
      <c r="A78" s="1"/>
      <c r="B78" s="59"/>
      <c r="C78" s="59"/>
      <c r="D78" s="38"/>
      <c r="E78" s="64"/>
      <c r="F78" s="64"/>
      <c r="G78" s="64"/>
      <c r="H78" s="74"/>
      <c r="I78" s="74"/>
      <c r="J78" s="64"/>
      <c r="K78" s="1"/>
    </row>
    <row r="79" spans="1:11" ht="15">
      <c r="A79" s="1"/>
      <c r="B79" s="59"/>
      <c r="C79" s="59"/>
      <c r="D79" s="18"/>
      <c r="E79" s="64"/>
      <c r="F79" s="64"/>
      <c r="G79" s="64"/>
      <c r="H79" s="74"/>
      <c r="I79" s="74"/>
      <c r="J79" s="64"/>
      <c r="K79" s="1"/>
    </row>
    <row r="80" spans="1:11" ht="15">
      <c r="A80" s="1"/>
      <c r="B80" s="59"/>
      <c r="C80" s="59"/>
      <c r="D80" s="38"/>
      <c r="E80" s="64"/>
      <c r="F80" s="64"/>
      <c r="G80" s="64"/>
      <c r="H80" s="74"/>
      <c r="I80" s="74"/>
      <c r="J80" s="64"/>
      <c r="K80" s="1"/>
    </row>
    <row r="81" spans="1:11" ht="15">
      <c r="A81" s="1"/>
      <c r="B81" s="59"/>
      <c r="C81" s="59"/>
      <c r="D81" s="38"/>
      <c r="E81" s="64"/>
      <c r="F81" s="64"/>
      <c r="G81" s="64"/>
      <c r="H81" s="74"/>
      <c r="I81" s="74"/>
      <c r="J81" s="64"/>
      <c r="K81" s="1"/>
    </row>
    <row r="82" spans="1:11" ht="15">
      <c r="A82" s="1"/>
      <c r="B82" s="59"/>
      <c r="C82" s="59"/>
      <c r="D82" s="38"/>
      <c r="E82" s="64"/>
      <c r="F82" s="64"/>
      <c r="G82" s="64"/>
      <c r="H82" s="74"/>
      <c r="I82" s="74"/>
      <c r="J82" s="64"/>
      <c r="K82" s="1"/>
    </row>
    <row r="83" spans="1:11" ht="15">
      <c r="A83" s="1"/>
      <c r="B83" s="59"/>
      <c r="C83" s="59"/>
      <c r="D83" s="38"/>
      <c r="E83" s="64"/>
      <c r="F83" s="64"/>
      <c r="G83" s="64"/>
      <c r="H83" s="74"/>
      <c r="I83" s="74"/>
      <c r="J83" s="64"/>
      <c r="K83" s="1"/>
    </row>
    <row r="84" spans="1:11" ht="15">
      <c r="A84" s="1"/>
      <c r="B84" s="59"/>
      <c r="C84" s="59"/>
      <c r="D84" s="38"/>
      <c r="E84" s="64"/>
      <c r="F84" s="64"/>
      <c r="G84" s="64"/>
      <c r="H84" s="74"/>
      <c r="I84" s="74"/>
      <c r="J84" s="64"/>
      <c r="K84" s="1"/>
    </row>
    <row r="85" spans="1:11" ht="15">
      <c r="A85" s="1"/>
      <c r="B85" s="59"/>
      <c r="C85" s="59"/>
      <c r="D85" s="38"/>
      <c r="E85" s="64"/>
      <c r="F85" s="64"/>
      <c r="G85" s="64"/>
      <c r="H85" s="74"/>
      <c r="I85" s="74"/>
      <c r="J85" s="64"/>
      <c r="K85" s="1"/>
    </row>
    <row r="86" spans="1:11" ht="15">
      <c r="A86" s="1"/>
      <c r="B86" s="59"/>
      <c r="C86" s="59"/>
      <c r="D86" s="38"/>
      <c r="E86" s="64"/>
      <c r="F86" s="64"/>
      <c r="G86" s="64"/>
      <c r="H86" s="74"/>
      <c r="I86" s="74"/>
      <c r="J86" s="64"/>
      <c r="K86" s="1"/>
    </row>
    <row r="87" spans="1:11" ht="15">
      <c r="A87" s="1"/>
      <c r="B87" s="59"/>
      <c r="C87" s="59"/>
      <c r="D87" s="38"/>
      <c r="E87" s="64"/>
      <c r="F87" s="64"/>
      <c r="G87" s="64"/>
      <c r="H87" s="74"/>
      <c r="I87" s="74"/>
      <c r="J87" s="64"/>
      <c r="K87" s="1"/>
    </row>
    <row r="88" spans="1:11" ht="15">
      <c r="A88" s="1"/>
      <c r="B88" s="59"/>
      <c r="C88" s="59"/>
      <c r="D88" s="59"/>
      <c r="E88" s="1"/>
      <c r="F88" s="64"/>
      <c r="G88" s="64"/>
      <c r="H88" s="64"/>
      <c r="I88" s="64"/>
      <c r="J88" s="64"/>
      <c r="K88" s="1"/>
    </row>
    <row r="89" spans="1:11" ht="15">
      <c r="A89" s="1"/>
      <c r="B89" s="59"/>
      <c r="C89" s="59"/>
      <c r="D89" s="59"/>
      <c r="E89" s="1"/>
      <c r="F89" s="64"/>
      <c r="G89" s="64"/>
      <c r="H89" s="64"/>
      <c r="I89" s="64"/>
      <c r="J89" s="64"/>
      <c r="K89" s="1"/>
    </row>
    <row r="90" spans="1:11" ht="15">
      <c r="A90" s="1"/>
      <c r="B90" s="59"/>
      <c r="C90" s="59"/>
      <c r="D90" s="59"/>
      <c r="E90" s="1"/>
      <c r="F90" s="64"/>
      <c r="G90" s="64"/>
      <c r="H90" s="64"/>
      <c r="I90" s="64"/>
      <c r="J90" s="64"/>
      <c r="K90" s="1"/>
    </row>
    <row r="91" spans="1:11" ht="15">
      <c r="A91" s="1"/>
      <c r="B91" s="59"/>
      <c r="C91" s="59"/>
      <c r="D91" s="59"/>
      <c r="E91" s="1"/>
      <c r="F91" s="64"/>
      <c r="G91" s="64"/>
      <c r="H91" s="64"/>
      <c r="I91" s="64"/>
      <c r="J91" s="64"/>
      <c r="K91" s="1"/>
    </row>
    <row r="92" spans="1:11" ht="15">
      <c r="A92" s="1"/>
      <c r="B92" s="59"/>
      <c r="C92" s="59"/>
      <c r="D92" s="59"/>
      <c r="E92" s="1"/>
      <c r="F92" s="64"/>
      <c r="G92" s="64"/>
      <c r="H92" s="64"/>
      <c r="I92" s="64"/>
      <c r="J92" s="64"/>
      <c r="K92" s="1"/>
    </row>
    <row r="93" spans="1:11" ht="15">
      <c r="A93" s="1"/>
      <c r="B93" s="59"/>
      <c r="C93" s="59"/>
      <c r="D93" s="59"/>
      <c r="E93" s="1"/>
      <c r="F93" s="64"/>
      <c r="G93" s="64"/>
      <c r="H93" s="64"/>
      <c r="I93" s="64"/>
      <c r="J93" s="64"/>
      <c r="K93" s="1"/>
    </row>
    <row r="94" spans="1:11" ht="15">
      <c r="A94" s="1"/>
      <c r="B94" s="59"/>
      <c r="C94" s="59"/>
      <c r="D94" s="59"/>
      <c r="E94" s="1"/>
      <c r="F94" s="64"/>
      <c r="G94" s="64"/>
      <c r="H94" s="64"/>
      <c r="I94" s="64"/>
      <c r="J94" s="64"/>
      <c r="K94" s="1"/>
    </row>
    <row r="95" spans="1:11" ht="15">
      <c r="A95" s="1"/>
      <c r="B95" s="59"/>
      <c r="C95" s="59"/>
      <c r="D95" s="59"/>
      <c r="E95" s="1"/>
      <c r="F95" s="64"/>
      <c r="G95" s="64"/>
      <c r="H95" s="64"/>
      <c r="I95" s="64"/>
      <c r="J95" s="64"/>
      <c r="K95" s="1"/>
    </row>
    <row r="96" spans="1:11" ht="15">
      <c r="A96" s="1"/>
      <c r="B96" s="59"/>
      <c r="C96" s="59"/>
      <c r="D96" s="59"/>
      <c r="E96" s="1"/>
      <c r="F96" s="64"/>
      <c r="G96" s="64"/>
      <c r="H96" s="64"/>
      <c r="I96" s="64"/>
      <c r="J96" s="64"/>
      <c r="K96" s="1"/>
    </row>
    <row r="97" spans="2:11" ht="15">
      <c r="B97" s="59"/>
      <c r="C97" s="59"/>
      <c r="D97" s="59"/>
      <c r="E97" s="1"/>
      <c r="F97" s="64"/>
      <c r="G97" s="64"/>
      <c r="H97" s="64"/>
      <c r="I97" s="64"/>
      <c r="J97" s="64"/>
      <c r="K97" s="1"/>
    </row>
    <row r="98" spans="2:7" ht="15">
      <c r="B98" s="59"/>
      <c r="C98" s="59"/>
      <c r="D98" s="59"/>
      <c r="E98" s="1"/>
      <c r="F98" s="64"/>
      <c r="G98" s="64"/>
    </row>
    <row r="99" spans="2:7" ht="15">
      <c r="B99" s="59"/>
      <c r="C99" s="59"/>
      <c r="D99" s="59"/>
      <c r="E99" s="1"/>
      <c r="F99" s="64"/>
      <c r="G99" s="64"/>
    </row>
    <row r="100" spans="2:7" ht="15">
      <c r="B100" s="59"/>
      <c r="C100" s="59"/>
      <c r="D100" s="59"/>
      <c r="E100" s="1"/>
      <c r="F100" s="64"/>
      <c r="G100" s="64"/>
    </row>
    <row r="101" spans="2:7" ht="15">
      <c r="B101" s="59"/>
      <c r="C101" s="59"/>
      <c r="D101" s="59"/>
      <c r="E101" s="1"/>
      <c r="F101" s="64"/>
      <c r="G101" s="64"/>
    </row>
    <row r="102" spans="2:7" ht="15">
      <c r="B102" s="59"/>
      <c r="C102" s="59"/>
      <c r="D102" s="59"/>
      <c r="E102" s="1"/>
      <c r="F102" s="64"/>
      <c r="G102" s="64"/>
    </row>
    <row r="103" spans="2:7" ht="15">
      <c r="B103" s="59"/>
      <c r="C103" s="59"/>
      <c r="D103" s="59"/>
      <c r="E103" s="1"/>
      <c r="F103" s="64"/>
      <c r="G103" s="64"/>
    </row>
    <row r="104" spans="2:7" ht="15">
      <c r="B104" s="59"/>
      <c r="C104" s="59"/>
      <c r="D104" s="59"/>
      <c r="E104" s="1"/>
      <c r="F104" s="64"/>
      <c r="G104" s="64"/>
    </row>
    <row r="105" spans="2:7" ht="15">
      <c r="B105" s="59"/>
      <c r="C105" s="59"/>
      <c r="D105" s="59"/>
      <c r="E105" s="1"/>
      <c r="F105" s="64"/>
      <c r="G105" s="64"/>
    </row>
    <row r="106" spans="2:7" ht="15">
      <c r="B106" s="59"/>
      <c r="C106" s="59"/>
      <c r="D106" s="59"/>
      <c r="E106" s="1"/>
      <c r="F106" s="64"/>
      <c r="G106" s="64"/>
    </row>
  </sheetData>
  <mergeCells count="6">
    <mergeCell ref="B48:F49"/>
    <mergeCell ref="B2:F2"/>
    <mergeCell ref="B4:F4"/>
    <mergeCell ref="B6:F6"/>
    <mergeCell ref="B7:F7"/>
    <mergeCell ref="B3:F3"/>
  </mergeCells>
  <printOptions/>
  <pageMargins left="0.75" right="0.75" top="1" bottom="1" header="0.5" footer="0.5"/>
  <pageSetup fitToHeight="1" fitToWidth="1"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showGridLines="0" workbookViewId="0" topLeftCell="F1">
      <selection activeCell="A43" sqref="A43"/>
    </sheetView>
  </sheetViews>
  <sheetFormatPr defaultColWidth="8.88671875" defaultRowHeight="15"/>
  <cols>
    <col min="1" max="1" width="3.77734375" style="2" customWidth="1"/>
    <col min="2" max="2" width="3.21484375" style="4" customWidth="1"/>
    <col min="3" max="4" width="14.5546875" style="4" customWidth="1"/>
    <col min="5" max="5" width="2.5546875" style="2" customWidth="1"/>
    <col min="6" max="6" width="13.6640625" style="3" customWidth="1"/>
    <col min="7" max="7" width="8.88671875" style="3" customWidth="1"/>
    <col min="8" max="8" width="9.6640625" style="2" bestFit="1" customWidth="1"/>
    <col min="9" max="9" width="9.6640625" style="2" customWidth="1"/>
    <col min="10" max="11" width="3.3359375" style="2" customWidth="1"/>
    <col min="12" max="12" width="9.6640625" style="2" hidden="1" customWidth="1"/>
    <col min="13" max="13" width="3.6640625" style="2" hidden="1" customWidth="1"/>
    <col min="14" max="14" width="9.6640625" style="2" hidden="1" customWidth="1"/>
    <col min="15" max="16384" width="8.88671875" style="2" customWidth="1"/>
  </cols>
  <sheetData>
    <row r="1" spans="1:19" ht="15">
      <c r="A1" s="1"/>
      <c r="B1" s="59"/>
      <c r="C1" s="59"/>
      <c r="D1" s="59"/>
      <c r="E1" s="1"/>
      <c r="F1" s="64"/>
      <c r="G1" s="6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1"/>
      <c r="B2" s="573" t="s">
        <v>87</v>
      </c>
      <c r="C2" s="573"/>
      <c r="D2" s="573"/>
      <c r="E2" s="574"/>
      <c r="F2" s="574"/>
      <c r="G2" s="574"/>
      <c r="H2" s="574"/>
      <c r="I2" s="574"/>
      <c r="J2" s="574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1"/>
      <c r="B3" s="578" t="s">
        <v>8</v>
      </c>
      <c r="C3" s="582"/>
      <c r="D3" s="582"/>
      <c r="E3" s="582"/>
      <c r="F3" s="582"/>
      <c r="G3" s="582"/>
      <c r="H3" s="582"/>
      <c r="I3" s="582"/>
      <c r="J3" s="582"/>
      <c r="K3" s="1"/>
      <c r="L3" s="1"/>
      <c r="M3" s="1"/>
      <c r="N3" s="1"/>
      <c r="O3" s="1"/>
      <c r="P3" s="1"/>
      <c r="Q3" s="1"/>
      <c r="R3" s="1"/>
      <c r="S3" s="1"/>
    </row>
    <row r="4" spans="1:19" s="20" customFormat="1" ht="15">
      <c r="A4" s="61"/>
      <c r="B4" s="575" t="s">
        <v>92</v>
      </c>
      <c r="C4" s="575"/>
      <c r="D4" s="575"/>
      <c r="E4" s="574"/>
      <c r="F4" s="574"/>
      <c r="G4" s="574"/>
      <c r="H4" s="574"/>
      <c r="I4" s="574"/>
      <c r="J4" s="574"/>
      <c r="K4" s="61"/>
      <c r="L4" s="61"/>
      <c r="M4" s="61"/>
      <c r="N4" s="61"/>
      <c r="O4" s="61"/>
      <c r="P4" s="61"/>
      <c r="Q4" s="61"/>
      <c r="R4" s="61"/>
      <c r="S4" s="61"/>
    </row>
    <row r="5" spans="1:19" s="20" customFormat="1" ht="12">
      <c r="A5" s="61"/>
      <c r="B5" s="46"/>
      <c r="F5" s="39"/>
      <c r="G5" s="39"/>
      <c r="I5" s="118"/>
      <c r="K5" s="61"/>
      <c r="L5" s="413"/>
      <c r="M5" s="61"/>
      <c r="N5" s="413"/>
      <c r="O5" s="61"/>
      <c r="P5" s="61"/>
      <c r="Q5" s="61"/>
      <c r="R5" s="61"/>
      <c r="S5" s="61"/>
    </row>
    <row r="6" spans="1:19" s="20" customFormat="1" ht="15.75">
      <c r="A6" s="61"/>
      <c r="B6" s="573" t="s">
        <v>17</v>
      </c>
      <c r="C6" s="573"/>
      <c r="D6" s="573"/>
      <c r="E6" s="574"/>
      <c r="F6" s="574"/>
      <c r="G6" s="574"/>
      <c r="H6" s="574"/>
      <c r="I6" s="574"/>
      <c r="J6" s="574"/>
      <c r="K6" s="61"/>
      <c r="L6" s="61"/>
      <c r="M6" s="61"/>
      <c r="N6" s="61"/>
      <c r="O6" s="61"/>
      <c r="P6" s="61"/>
      <c r="Q6" s="61"/>
      <c r="R6" s="61"/>
      <c r="S6" s="61"/>
    </row>
    <row r="7" spans="1:19" s="20" customFormat="1" ht="15">
      <c r="A7" s="61"/>
      <c r="B7" s="577" t="s">
        <v>319</v>
      </c>
      <c r="C7" s="577"/>
      <c r="D7" s="577"/>
      <c r="E7" s="574"/>
      <c r="F7" s="574"/>
      <c r="G7" s="574"/>
      <c r="H7" s="574"/>
      <c r="I7" s="574"/>
      <c r="J7" s="574"/>
      <c r="K7" s="61"/>
      <c r="L7" s="61"/>
      <c r="M7" s="61"/>
      <c r="N7" s="61"/>
      <c r="O7" s="61"/>
      <c r="P7" s="61"/>
      <c r="Q7" s="61"/>
      <c r="R7" s="61"/>
      <c r="S7" s="61"/>
    </row>
    <row r="8" spans="1:19" s="20" customFormat="1" ht="15.75">
      <c r="A8" s="61"/>
      <c r="B8" s="21"/>
      <c r="C8" s="21"/>
      <c r="D8" s="21"/>
      <c r="F8" s="47"/>
      <c r="G8" s="39"/>
      <c r="H8" s="125" t="s">
        <v>101</v>
      </c>
      <c r="I8" s="125" t="s">
        <v>0</v>
      </c>
      <c r="K8" s="61"/>
      <c r="L8" s="125"/>
      <c r="M8" s="61"/>
      <c r="N8" s="125"/>
      <c r="O8" s="61"/>
      <c r="P8" s="61"/>
      <c r="Q8" s="61"/>
      <c r="R8" s="61"/>
      <c r="S8" s="61"/>
    </row>
    <row r="9" spans="1:19" s="23" customFormat="1" ht="12.75">
      <c r="A9" s="62"/>
      <c r="B9" s="5"/>
      <c r="C9" s="25"/>
      <c r="D9" s="25"/>
      <c r="E9" s="5"/>
      <c r="F9" s="40"/>
      <c r="G9" s="7"/>
      <c r="H9" s="25" t="s">
        <v>380</v>
      </c>
      <c r="I9" s="25" t="s">
        <v>380</v>
      </c>
      <c r="J9" s="25"/>
      <c r="K9" s="62"/>
      <c r="L9" s="25"/>
      <c r="M9" s="62"/>
      <c r="N9" s="25"/>
      <c r="O9" s="62"/>
      <c r="P9" s="62"/>
      <c r="Q9" s="62"/>
      <c r="R9" s="62"/>
      <c r="S9" s="62"/>
    </row>
    <row r="10" spans="1:19" s="23" customFormat="1" ht="12.75">
      <c r="A10" s="62"/>
      <c r="B10" s="5"/>
      <c r="C10" s="25"/>
      <c r="D10" s="25"/>
      <c r="E10" s="5"/>
      <c r="F10" s="40"/>
      <c r="G10" s="7"/>
      <c r="H10" s="25" t="s">
        <v>18</v>
      </c>
      <c r="I10" s="25" t="s">
        <v>18</v>
      </c>
      <c r="J10" s="25"/>
      <c r="K10" s="62"/>
      <c r="L10" s="25"/>
      <c r="M10" s="62"/>
      <c r="N10" s="25"/>
      <c r="O10" s="62"/>
      <c r="P10" s="62"/>
      <c r="Q10" s="62"/>
      <c r="R10" s="62"/>
      <c r="S10" s="62"/>
    </row>
    <row r="11" spans="1:19" s="23" customFormat="1" ht="12.75">
      <c r="A11" s="62"/>
      <c r="B11" s="5"/>
      <c r="C11" s="24"/>
      <c r="D11" s="24"/>
      <c r="E11" s="5"/>
      <c r="F11" s="41"/>
      <c r="G11" s="7"/>
      <c r="H11" s="25" t="s">
        <v>103</v>
      </c>
      <c r="I11" s="25" t="s">
        <v>107</v>
      </c>
      <c r="J11" s="24"/>
      <c r="K11" s="62"/>
      <c r="L11" s="25"/>
      <c r="M11" s="62"/>
      <c r="N11" s="25"/>
      <c r="O11" s="62"/>
      <c r="P11" s="62"/>
      <c r="Q11" s="62"/>
      <c r="R11" s="62"/>
      <c r="S11" s="62"/>
    </row>
    <row r="12" spans="1:19" s="23" customFormat="1" ht="12.75">
      <c r="A12" s="62"/>
      <c r="B12" s="5"/>
      <c r="C12" s="25"/>
      <c r="D12" s="25"/>
      <c r="E12" s="5"/>
      <c r="F12" s="40"/>
      <c r="G12" s="7"/>
      <c r="H12" s="25" t="s">
        <v>33</v>
      </c>
      <c r="I12" s="25" t="s">
        <v>33</v>
      </c>
      <c r="J12" s="25"/>
      <c r="K12" s="62"/>
      <c r="L12" s="25"/>
      <c r="M12" s="62"/>
      <c r="N12" s="25"/>
      <c r="O12" s="62"/>
      <c r="P12" s="62"/>
      <c r="Q12" s="62"/>
      <c r="R12" s="62"/>
      <c r="S12" s="62"/>
    </row>
    <row r="13" spans="1:19" s="20" customFormat="1" ht="12.75">
      <c r="A13" s="61"/>
      <c r="B13" s="4"/>
      <c r="C13" s="19"/>
      <c r="D13" s="19"/>
      <c r="E13" s="4"/>
      <c r="F13" s="93"/>
      <c r="G13" s="11"/>
      <c r="H13" s="25" t="s">
        <v>69</v>
      </c>
      <c r="I13" s="25" t="s">
        <v>69</v>
      </c>
      <c r="J13" s="4"/>
      <c r="K13" s="61"/>
      <c r="L13" s="25"/>
      <c r="M13" s="61"/>
      <c r="N13" s="25"/>
      <c r="O13" s="61"/>
      <c r="P13" s="61"/>
      <c r="Q13" s="61"/>
      <c r="R13" s="61"/>
      <c r="S13" s="61"/>
    </row>
    <row r="14" spans="1:19" s="20" customFormat="1" ht="12.75">
      <c r="A14" s="61"/>
      <c r="B14" s="8" t="s">
        <v>79</v>
      </c>
      <c r="C14" s="94"/>
      <c r="D14" s="94"/>
      <c r="E14" s="94"/>
      <c r="F14" s="94"/>
      <c r="G14" s="94"/>
      <c r="H14" s="94"/>
      <c r="I14" s="94"/>
      <c r="J14" s="94"/>
      <c r="K14" s="61"/>
      <c r="L14" s="94"/>
      <c r="M14" s="61"/>
      <c r="N14" s="94"/>
      <c r="O14" s="61"/>
      <c r="P14" s="61"/>
      <c r="Q14" s="61"/>
      <c r="R14" s="61"/>
      <c r="S14" s="61"/>
    </row>
    <row r="15" spans="1:19" s="20" customFormat="1" ht="12.75">
      <c r="A15" s="61"/>
      <c r="B15" s="94" t="s">
        <v>65</v>
      </c>
      <c r="C15" s="94"/>
      <c r="D15" s="94"/>
      <c r="E15" s="94"/>
      <c r="F15" s="94"/>
      <c r="G15" s="94"/>
      <c r="H15" s="96">
        <f>+Workings!D124+1</f>
        <v>-4900</v>
      </c>
      <c r="I15" s="96">
        <f>+CIS!H38</f>
        <v>1588</v>
      </c>
      <c r="J15" s="96"/>
      <c r="K15" s="61"/>
      <c r="L15" s="96"/>
      <c r="M15" s="61"/>
      <c r="N15" s="96"/>
      <c r="O15" s="61"/>
      <c r="P15" s="61"/>
      <c r="Q15" s="61"/>
      <c r="R15" s="61"/>
      <c r="S15" s="61"/>
    </row>
    <row r="16" spans="1:19" s="20" customFormat="1" ht="12.75">
      <c r="A16" s="61"/>
      <c r="B16" s="94"/>
      <c r="C16" s="94"/>
      <c r="D16" s="94"/>
      <c r="E16" s="94"/>
      <c r="F16" s="94"/>
      <c r="G16" s="94"/>
      <c r="H16" s="94"/>
      <c r="I16" s="94"/>
      <c r="J16" s="94"/>
      <c r="K16" s="61"/>
      <c r="L16" s="94"/>
      <c r="M16" s="61"/>
      <c r="N16" s="94"/>
      <c r="O16" s="61"/>
      <c r="P16" s="61"/>
      <c r="Q16" s="61"/>
      <c r="R16" s="61"/>
      <c r="S16" s="61"/>
    </row>
    <row r="17" spans="1:19" s="20" customFormat="1" ht="12.75">
      <c r="A17" s="61"/>
      <c r="B17" s="94" t="s">
        <v>77</v>
      </c>
      <c r="C17" s="94"/>
      <c r="D17" s="94"/>
      <c r="E17" s="94"/>
      <c r="F17" s="94"/>
      <c r="G17" s="94"/>
      <c r="H17" s="95">
        <f>+Workings!D126</f>
        <v>7483</v>
      </c>
      <c r="I17" s="95">
        <v>5615</v>
      </c>
      <c r="J17" s="94"/>
      <c r="K17" s="61"/>
      <c r="L17" s="95"/>
      <c r="M17" s="61"/>
      <c r="N17" s="95"/>
      <c r="O17" s="61"/>
      <c r="P17" s="61"/>
      <c r="Q17" s="61"/>
      <c r="R17" s="61"/>
      <c r="S17" s="61"/>
    </row>
    <row r="18" spans="1:19" ht="15">
      <c r="A18" s="1"/>
      <c r="B18" s="94"/>
      <c r="C18" s="94"/>
      <c r="D18" s="94"/>
      <c r="E18" s="94"/>
      <c r="F18" s="94"/>
      <c r="G18" s="94"/>
      <c r="H18" s="96"/>
      <c r="I18" s="96"/>
      <c r="J18" s="96"/>
      <c r="K18" s="1"/>
      <c r="L18" s="96"/>
      <c r="M18" s="1"/>
      <c r="N18" s="96"/>
      <c r="O18" s="1"/>
      <c r="P18" s="1"/>
      <c r="Q18" s="1"/>
      <c r="R18" s="1"/>
      <c r="S18" s="1"/>
    </row>
    <row r="19" spans="1:19" ht="15">
      <c r="A19" s="1"/>
      <c r="B19" s="4" t="s">
        <v>78</v>
      </c>
      <c r="C19" s="94"/>
      <c r="D19" s="94"/>
      <c r="E19" s="94"/>
      <c r="F19" s="94"/>
      <c r="G19" s="94"/>
      <c r="H19" s="11">
        <f>SUM(H13:H17)</f>
        <v>2583</v>
      </c>
      <c r="I19" s="11">
        <f>SUM(I13:I17)</f>
        <v>7203</v>
      </c>
      <c r="J19" s="97"/>
      <c r="K19" s="1"/>
      <c r="L19" s="11"/>
      <c r="M19" s="1"/>
      <c r="N19" s="11"/>
      <c r="O19" s="1"/>
      <c r="P19" s="1"/>
      <c r="Q19" s="1"/>
      <c r="R19" s="1"/>
      <c r="S19" s="1"/>
    </row>
    <row r="20" spans="1:19" ht="15" hidden="1">
      <c r="A20" s="1"/>
      <c r="B20" s="94"/>
      <c r="C20" s="94"/>
      <c r="D20" s="94"/>
      <c r="E20" s="94"/>
      <c r="F20" s="94"/>
      <c r="G20" s="94"/>
      <c r="H20" s="94"/>
      <c r="I20" s="94"/>
      <c r="J20" s="94"/>
      <c r="K20" s="1"/>
      <c r="L20" s="94"/>
      <c r="M20" s="1"/>
      <c r="N20" s="94"/>
      <c r="O20" s="1"/>
      <c r="P20" s="1"/>
      <c r="Q20" s="1"/>
      <c r="R20" s="1"/>
      <c r="S20" s="1"/>
    </row>
    <row r="21" spans="1:19" ht="15">
      <c r="A21" s="1"/>
      <c r="B21" s="94"/>
      <c r="C21" s="94"/>
      <c r="D21" s="94"/>
      <c r="E21" s="94"/>
      <c r="F21" s="94"/>
      <c r="G21" s="94"/>
      <c r="H21" s="94"/>
      <c r="I21" s="94"/>
      <c r="J21" s="94"/>
      <c r="K21" s="1"/>
      <c r="L21" s="94"/>
      <c r="M21" s="1"/>
      <c r="N21" s="94"/>
      <c r="O21" s="1"/>
      <c r="P21" s="1"/>
      <c r="Q21" s="1"/>
      <c r="R21" s="1"/>
      <c r="S21" s="1"/>
    </row>
    <row r="22" spans="1:19" ht="15">
      <c r="A22" s="1"/>
      <c r="B22" s="4" t="s">
        <v>29</v>
      </c>
      <c r="C22" s="94"/>
      <c r="D22" s="94"/>
      <c r="E22" s="94"/>
      <c r="F22" s="94"/>
      <c r="G22" s="94"/>
      <c r="H22" s="95">
        <f>+Workings!D131+4051-1569</f>
        <v>-15538</v>
      </c>
      <c r="I22" s="95">
        <v>-160886</v>
      </c>
      <c r="J22" s="94"/>
      <c r="K22" s="1"/>
      <c r="L22" s="95"/>
      <c r="M22" s="1"/>
      <c r="N22" s="95"/>
      <c r="O22" s="1"/>
      <c r="P22" s="1"/>
      <c r="Q22" s="1"/>
      <c r="R22" s="1"/>
      <c r="S22" s="1"/>
    </row>
    <row r="23" spans="1:19" ht="15">
      <c r="A23" s="1"/>
      <c r="B23" s="94"/>
      <c r="C23" s="94"/>
      <c r="D23" s="94"/>
      <c r="E23" s="94"/>
      <c r="F23" s="94"/>
      <c r="G23" s="94"/>
      <c r="H23" s="96"/>
      <c r="I23" s="96"/>
      <c r="J23" s="96"/>
      <c r="K23" s="1"/>
      <c r="L23" s="96"/>
      <c r="M23" s="1"/>
      <c r="N23" s="96"/>
      <c r="O23" s="1"/>
      <c r="P23" s="1"/>
      <c r="Q23" s="1"/>
      <c r="R23" s="1"/>
      <c r="S23" s="1"/>
    </row>
    <row r="24" spans="1:19" ht="15">
      <c r="A24" s="1"/>
      <c r="B24" s="8" t="s">
        <v>570</v>
      </c>
      <c r="C24" s="94"/>
      <c r="D24" s="94"/>
      <c r="E24" s="94"/>
      <c r="F24" s="94"/>
      <c r="G24" s="94"/>
      <c r="H24" s="97">
        <f>SUM(H18:H22)</f>
        <v>-12955</v>
      </c>
      <c r="I24" s="97">
        <f>SUM(I18:I22)</f>
        <v>-153683</v>
      </c>
      <c r="J24" s="97"/>
      <c r="K24" s="1"/>
      <c r="L24" s="97"/>
      <c r="M24" s="1"/>
      <c r="N24" s="97"/>
      <c r="O24" s="1"/>
      <c r="P24" s="1"/>
      <c r="Q24" s="1"/>
      <c r="R24" s="1"/>
      <c r="S24" s="1"/>
    </row>
    <row r="25" spans="1:19" ht="15">
      <c r="A25" s="1"/>
      <c r="B25" s="94"/>
      <c r="C25" s="94"/>
      <c r="D25" s="94"/>
      <c r="E25" s="94"/>
      <c r="F25" s="94"/>
      <c r="G25" s="94"/>
      <c r="H25" s="96"/>
      <c r="I25" s="96"/>
      <c r="J25" s="96"/>
      <c r="K25" s="1"/>
      <c r="L25" s="96"/>
      <c r="M25" s="1"/>
      <c r="N25" s="96"/>
      <c r="O25" s="1"/>
      <c r="P25" s="1"/>
      <c r="Q25" s="1"/>
      <c r="R25" s="1"/>
      <c r="S25" s="1"/>
    </row>
    <row r="26" spans="1:19" ht="15">
      <c r="A26" s="1"/>
      <c r="B26" s="98" t="s">
        <v>81</v>
      </c>
      <c r="C26" s="99"/>
      <c r="D26" s="99"/>
      <c r="E26" s="100"/>
      <c r="F26" s="101"/>
      <c r="G26" s="101"/>
      <c r="H26" s="102"/>
      <c r="I26" s="102"/>
      <c r="J26" s="96"/>
      <c r="K26" s="1"/>
      <c r="L26" s="102"/>
      <c r="M26" s="1"/>
      <c r="N26" s="102"/>
      <c r="O26" s="1"/>
      <c r="P26" s="1"/>
      <c r="Q26" s="1"/>
      <c r="R26" s="1"/>
      <c r="S26" s="1"/>
    </row>
    <row r="27" spans="1:19" ht="15">
      <c r="A27" s="1"/>
      <c r="B27" s="99" t="s">
        <v>430</v>
      </c>
      <c r="C27" s="99"/>
      <c r="D27" s="99"/>
      <c r="E27" s="100"/>
      <c r="F27" s="101"/>
      <c r="G27" s="101"/>
      <c r="H27" s="113">
        <f>+Workings!D139-4053+1569</f>
        <v>-4053</v>
      </c>
      <c r="I27" s="113"/>
      <c r="J27" s="96"/>
      <c r="K27" s="1"/>
      <c r="L27" s="113"/>
      <c r="M27" s="1"/>
      <c r="N27" s="113"/>
      <c r="O27" s="1"/>
      <c r="P27" s="1"/>
      <c r="Q27" s="1"/>
      <c r="R27" s="1"/>
      <c r="S27" s="1"/>
    </row>
    <row r="28" spans="1:19" ht="15">
      <c r="A28" s="1"/>
      <c r="B28" s="99" t="s">
        <v>431</v>
      </c>
      <c r="C28" s="99"/>
      <c r="D28" s="99"/>
      <c r="E28" s="100"/>
      <c r="F28" s="101"/>
      <c r="G28" s="101"/>
      <c r="H28" s="411">
        <f>+Workings!D137</f>
        <v>23</v>
      </c>
      <c r="I28" s="411">
        <v>4254</v>
      </c>
      <c r="J28" s="96"/>
      <c r="K28" s="1"/>
      <c r="L28" s="411"/>
      <c r="M28" s="1"/>
      <c r="N28" s="429"/>
      <c r="O28" s="1"/>
      <c r="P28" s="1"/>
      <c r="Q28" s="1"/>
      <c r="R28" s="1"/>
      <c r="S28" s="1"/>
    </row>
    <row r="29" spans="1:19" ht="15">
      <c r="A29" s="1"/>
      <c r="B29" s="99" t="s">
        <v>356</v>
      </c>
      <c r="C29" s="99"/>
      <c r="D29" s="99"/>
      <c r="E29" s="100"/>
      <c r="F29" s="101"/>
      <c r="G29" s="101"/>
      <c r="H29" s="411">
        <f>+Workings!D138</f>
        <v>140</v>
      </c>
      <c r="I29" s="411">
        <v>144</v>
      </c>
      <c r="J29" s="96"/>
      <c r="K29" s="1"/>
      <c r="L29" s="411"/>
      <c r="M29" s="1"/>
      <c r="N29" s="411"/>
      <c r="O29" s="1"/>
      <c r="P29" s="1"/>
      <c r="Q29" s="1"/>
      <c r="R29" s="1"/>
      <c r="S29" s="1"/>
    </row>
    <row r="30" spans="1:19" ht="15" hidden="1">
      <c r="A30" s="1"/>
      <c r="B30" s="99" t="s">
        <v>434</v>
      </c>
      <c r="C30" s="99"/>
      <c r="D30" s="99"/>
      <c r="E30" s="100"/>
      <c r="F30" s="101"/>
      <c r="G30" s="101"/>
      <c r="H30" s="411"/>
      <c r="I30" s="411">
        <v>0</v>
      </c>
      <c r="J30" s="96"/>
      <c r="K30" s="1"/>
      <c r="L30" s="411"/>
      <c r="M30" s="1"/>
      <c r="N30" s="411"/>
      <c r="O30" s="1"/>
      <c r="P30" s="1"/>
      <c r="Q30" s="1"/>
      <c r="R30" s="1"/>
      <c r="S30" s="1"/>
    </row>
    <row r="31" spans="1:19" ht="15" hidden="1">
      <c r="A31" s="1"/>
      <c r="B31" s="99" t="s">
        <v>432</v>
      </c>
      <c r="C31" s="99"/>
      <c r="D31" s="99"/>
      <c r="E31" s="100"/>
      <c r="F31" s="101"/>
      <c r="G31" s="101"/>
      <c r="H31" s="411"/>
      <c r="I31" s="411">
        <v>0</v>
      </c>
      <c r="J31" s="96"/>
      <c r="K31" s="1"/>
      <c r="L31" s="411"/>
      <c r="M31" s="1"/>
      <c r="N31" s="411"/>
      <c r="O31" s="1"/>
      <c r="P31" s="1"/>
      <c r="Q31" s="1"/>
      <c r="R31" s="1"/>
      <c r="S31" s="1"/>
    </row>
    <row r="32" spans="1:19" ht="15" hidden="1">
      <c r="A32" s="1"/>
      <c r="B32" s="99" t="s">
        <v>433</v>
      </c>
      <c r="C32" s="99"/>
      <c r="D32" s="99"/>
      <c r="E32" s="100"/>
      <c r="F32" s="101"/>
      <c r="G32" s="101"/>
      <c r="H32" s="114"/>
      <c r="I32" s="114">
        <v>0</v>
      </c>
      <c r="J32" s="96"/>
      <c r="K32" s="1"/>
      <c r="L32" s="114"/>
      <c r="M32" s="1"/>
      <c r="N32" s="114"/>
      <c r="O32" s="1"/>
      <c r="P32" s="1"/>
      <c r="Q32" s="1"/>
      <c r="R32" s="1"/>
      <c r="S32" s="1"/>
    </row>
    <row r="33" spans="1:19" ht="15">
      <c r="A33" s="1"/>
      <c r="B33" s="99"/>
      <c r="C33" s="99"/>
      <c r="D33" s="99"/>
      <c r="E33" s="100"/>
      <c r="F33" s="101"/>
      <c r="G33" s="101"/>
      <c r="H33" s="548"/>
      <c r="I33" s="549"/>
      <c r="J33" s="97"/>
      <c r="K33" s="1"/>
      <c r="L33" s="102"/>
      <c r="M33" s="1"/>
      <c r="N33" s="102"/>
      <c r="O33" s="1"/>
      <c r="P33" s="1"/>
      <c r="Q33" s="1"/>
      <c r="R33" s="1"/>
      <c r="S33" s="1"/>
    </row>
    <row r="34" spans="1:19" ht="15">
      <c r="A34" s="1"/>
      <c r="B34" s="98" t="s">
        <v>569</v>
      </c>
      <c r="C34" s="99"/>
      <c r="D34" s="99"/>
      <c r="E34" s="100"/>
      <c r="F34" s="101"/>
      <c r="G34" s="101"/>
      <c r="H34" s="103">
        <f>SUM(H27:H32)</f>
        <v>-3890</v>
      </c>
      <c r="I34" s="103">
        <f>SUM(I27:I32)</f>
        <v>4398</v>
      </c>
      <c r="J34" s="96"/>
      <c r="K34" s="1"/>
      <c r="L34" s="103"/>
      <c r="M34" s="1"/>
      <c r="N34" s="103"/>
      <c r="O34" s="1"/>
      <c r="P34" s="1"/>
      <c r="Q34" s="1"/>
      <c r="R34" s="1"/>
      <c r="S34" s="1"/>
    </row>
    <row r="35" spans="1:19" ht="16.5" customHeight="1">
      <c r="A35" s="1"/>
      <c r="B35" s="99"/>
      <c r="C35" s="99"/>
      <c r="D35" s="99"/>
      <c r="E35" s="100"/>
      <c r="F35" s="101"/>
      <c r="G35" s="101"/>
      <c r="H35" s="102"/>
      <c r="I35" s="102"/>
      <c r="J35" s="97"/>
      <c r="K35" s="1"/>
      <c r="L35" s="102"/>
      <c r="M35" s="1"/>
      <c r="N35" s="102"/>
      <c r="O35" s="1"/>
      <c r="P35" s="1"/>
      <c r="Q35" s="1"/>
      <c r="R35" s="1"/>
      <c r="S35" s="1"/>
    </row>
    <row r="36" spans="1:19" ht="15">
      <c r="A36" s="1"/>
      <c r="B36" s="98" t="s">
        <v>82</v>
      </c>
      <c r="C36" s="99"/>
      <c r="D36" s="99"/>
      <c r="E36" s="100"/>
      <c r="F36" s="101"/>
      <c r="G36" s="101"/>
      <c r="H36" s="102"/>
      <c r="I36" s="102"/>
      <c r="J36" s="94"/>
      <c r="K36" s="1"/>
      <c r="L36" s="102"/>
      <c r="M36" s="1"/>
      <c r="N36" s="102"/>
      <c r="O36" s="1"/>
      <c r="P36" s="1"/>
      <c r="Q36" s="1"/>
      <c r="R36" s="1"/>
      <c r="S36" s="1"/>
    </row>
    <row r="37" spans="1:19" ht="15">
      <c r="A37" s="1"/>
      <c r="B37" s="99" t="s">
        <v>487</v>
      </c>
      <c r="C37" s="99"/>
      <c r="D37" s="99"/>
      <c r="E37" s="100"/>
      <c r="F37" s="101"/>
      <c r="G37" s="101"/>
      <c r="H37" s="113">
        <f>+Workings!D145</f>
        <v>17500</v>
      </c>
      <c r="I37" s="113">
        <v>83844</v>
      </c>
      <c r="J37" s="94"/>
      <c r="K37" s="1"/>
      <c r="L37" s="113"/>
      <c r="M37" s="1"/>
      <c r="N37" s="113"/>
      <c r="O37" s="1"/>
      <c r="P37" s="1"/>
      <c r="Q37" s="1"/>
      <c r="R37" s="1"/>
      <c r="S37" s="1"/>
    </row>
    <row r="38" spans="1:19" ht="15">
      <c r="A38" s="1"/>
      <c r="B38" s="99" t="s">
        <v>560</v>
      </c>
      <c r="C38" s="99"/>
      <c r="D38" s="99"/>
      <c r="E38" s="100"/>
      <c r="F38" s="101"/>
      <c r="G38" s="101"/>
      <c r="H38" s="411"/>
      <c r="I38" s="411">
        <v>80000</v>
      </c>
      <c r="J38" s="94"/>
      <c r="K38" s="1"/>
      <c r="L38" s="411"/>
      <c r="M38" s="1"/>
      <c r="N38" s="411"/>
      <c r="O38" s="1"/>
      <c r="P38" s="1"/>
      <c r="Q38" s="1"/>
      <c r="R38" s="1"/>
      <c r="S38" s="1"/>
    </row>
    <row r="39" spans="1:19" ht="15">
      <c r="A39" s="1"/>
      <c r="B39" s="99" t="s">
        <v>83</v>
      </c>
      <c r="C39" s="99"/>
      <c r="D39" s="99"/>
      <c r="E39" s="100"/>
      <c r="F39" s="101"/>
      <c r="G39" s="101"/>
      <c r="H39" s="115">
        <f>+Workings!D146</f>
        <v>-10728</v>
      </c>
      <c r="I39" s="115">
        <v>-5145</v>
      </c>
      <c r="J39" s="94"/>
      <c r="K39" s="1"/>
      <c r="L39" s="115"/>
      <c r="M39" s="1"/>
      <c r="N39" s="115"/>
      <c r="O39" s="1"/>
      <c r="P39" s="1"/>
      <c r="Q39" s="1"/>
      <c r="R39" s="1"/>
      <c r="S39" s="1"/>
    </row>
    <row r="40" spans="1:19" ht="15" hidden="1">
      <c r="A40" s="1"/>
      <c r="B40" s="99" t="s">
        <v>435</v>
      </c>
      <c r="C40" s="99"/>
      <c r="D40" s="99"/>
      <c r="E40" s="100"/>
      <c r="F40" s="101"/>
      <c r="G40" s="101"/>
      <c r="H40" s="115"/>
      <c r="I40" s="115">
        <v>0</v>
      </c>
      <c r="J40" s="94"/>
      <c r="K40" s="1"/>
      <c r="L40" s="115"/>
      <c r="M40" s="1"/>
      <c r="N40" s="115"/>
      <c r="O40" s="1"/>
      <c r="P40" s="1"/>
      <c r="Q40" s="1"/>
      <c r="R40" s="1"/>
      <c r="S40" s="1"/>
    </row>
    <row r="41" spans="1:19" ht="15" hidden="1">
      <c r="A41" s="1"/>
      <c r="B41" s="99" t="s">
        <v>436</v>
      </c>
      <c r="C41" s="99"/>
      <c r="D41" s="99"/>
      <c r="E41" s="100"/>
      <c r="F41" s="101"/>
      <c r="G41" s="101"/>
      <c r="H41" s="115">
        <v>0</v>
      </c>
      <c r="I41" s="115"/>
      <c r="J41" s="94"/>
      <c r="K41" s="1"/>
      <c r="L41" s="115"/>
      <c r="M41" s="1"/>
      <c r="N41" s="115"/>
      <c r="O41" s="1"/>
      <c r="P41" s="1"/>
      <c r="Q41" s="1"/>
      <c r="R41" s="1"/>
      <c r="S41" s="1"/>
    </row>
    <row r="42" spans="1:19" ht="15">
      <c r="A42" s="1"/>
      <c r="B42" s="99" t="s">
        <v>19</v>
      </c>
      <c r="C42" s="99"/>
      <c r="D42" s="99"/>
      <c r="E42" s="100"/>
      <c r="F42" s="101"/>
      <c r="G42" s="101"/>
      <c r="H42" s="116">
        <f>+Workings!D147</f>
        <v>-3752</v>
      </c>
      <c r="I42" s="116">
        <v>-2377</v>
      </c>
      <c r="J42" s="94"/>
      <c r="K42" s="1"/>
      <c r="L42" s="116"/>
      <c r="M42" s="1"/>
      <c r="N42" s="116"/>
      <c r="O42" s="1"/>
      <c r="P42" s="1"/>
      <c r="Q42" s="1"/>
      <c r="R42" s="1"/>
      <c r="S42" s="1"/>
    </row>
    <row r="43" spans="1:19" ht="15">
      <c r="A43" s="1"/>
      <c r="B43" s="99"/>
      <c r="C43" s="99"/>
      <c r="D43" s="99"/>
      <c r="E43" s="100"/>
      <c r="F43" s="101"/>
      <c r="G43" s="101"/>
      <c r="H43" s="102"/>
      <c r="I43" s="102"/>
      <c r="J43" s="7"/>
      <c r="K43" s="1"/>
      <c r="L43" s="102"/>
      <c r="M43" s="1"/>
      <c r="N43" s="102"/>
      <c r="O43" s="1"/>
      <c r="P43" s="1"/>
      <c r="Q43" s="1"/>
      <c r="R43" s="1"/>
      <c r="S43" s="1"/>
    </row>
    <row r="44" spans="1:19" ht="15">
      <c r="A44" s="1"/>
      <c r="B44" s="98" t="s">
        <v>571</v>
      </c>
      <c r="C44" s="99"/>
      <c r="D44" s="99"/>
      <c r="E44" s="100"/>
      <c r="F44" s="101"/>
      <c r="G44" s="101"/>
      <c r="H44" s="104">
        <f>SUM(H36:H43)</f>
        <v>3020</v>
      </c>
      <c r="I44" s="104">
        <f>SUM(I36:I43)</f>
        <v>156322</v>
      </c>
      <c r="J44" s="7"/>
      <c r="K44" s="1"/>
      <c r="L44" s="104"/>
      <c r="M44" s="1"/>
      <c r="N44" s="104"/>
      <c r="O44" s="1"/>
      <c r="P44" s="1"/>
      <c r="Q44" s="1"/>
      <c r="R44" s="1"/>
      <c r="S44" s="1"/>
    </row>
    <row r="45" spans="1:19" ht="15">
      <c r="A45" s="1"/>
      <c r="B45" s="99"/>
      <c r="C45" s="99"/>
      <c r="D45" s="99"/>
      <c r="E45" s="100"/>
      <c r="F45" s="101"/>
      <c r="G45" s="101"/>
      <c r="H45" s="102"/>
      <c r="I45" s="102"/>
      <c r="J45" s="5"/>
      <c r="K45" s="1"/>
      <c r="L45" s="102"/>
      <c r="M45" s="1"/>
      <c r="N45" s="102"/>
      <c r="O45" s="1"/>
      <c r="P45" s="1"/>
      <c r="Q45" s="1"/>
      <c r="R45" s="1"/>
      <c r="S45" s="1"/>
    </row>
    <row r="46" spans="1:19" ht="15">
      <c r="A46" s="1"/>
      <c r="B46" s="98" t="s">
        <v>572</v>
      </c>
      <c r="C46" s="99"/>
      <c r="D46" s="99"/>
      <c r="E46" s="100"/>
      <c r="F46" s="101"/>
      <c r="G46" s="101"/>
      <c r="H46" s="105">
        <f>H44+H34+H24</f>
        <v>-13825</v>
      </c>
      <c r="I46" s="105">
        <f>I44+I34+I24</f>
        <v>7037</v>
      </c>
      <c r="J46" s="94"/>
      <c r="K46" s="1"/>
      <c r="L46" s="105"/>
      <c r="M46" s="1"/>
      <c r="N46" s="105"/>
      <c r="O46" s="1"/>
      <c r="P46" s="1"/>
      <c r="Q46" s="1"/>
      <c r="R46" s="1"/>
      <c r="S46" s="1"/>
    </row>
    <row r="47" spans="1:19" ht="15">
      <c r="A47" s="1"/>
      <c r="B47" s="99"/>
      <c r="C47" s="99"/>
      <c r="D47" s="99"/>
      <c r="E47" s="100"/>
      <c r="F47" s="101"/>
      <c r="G47" s="101"/>
      <c r="H47" s="102"/>
      <c r="I47" s="102"/>
      <c r="J47" s="94"/>
      <c r="K47" s="1"/>
      <c r="L47" s="102"/>
      <c r="M47" s="1"/>
      <c r="N47" s="102"/>
      <c r="O47" s="1"/>
      <c r="P47" s="1"/>
      <c r="Q47" s="1"/>
      <c r="R47" s="1"/>
      <c r="S47" s="1"/>
    </row>
    <row r="48" spans="1:19" ht="15">
      <c r="A48" s="1"/>
      <c r="B48" s="98" t="s">
        <v>84</v>
      </c>
      <c r="C48" s="99"/>
      <c r="D48" s="99"/>
      <c r="E48" s="100"/>
      <c r="F48" s="101"/>
      <c r="G48" s="101"/>
      <c r="H48" s="113">
        <f>+Workings!D153</f>
        <v>29837</v>
      </c>
      <c r="I48" s="113">
        <v>8707</v>
      </c>
      <c r="J48" s="94"/>
      <c r="K48" s="1"/>
      <c r="L48" s="113"/>
      <c r="M48" s="1"/>
      <c r="N48" s="113"/>
      <c r="O48" s="1"/>
      <c r="P48" s="1"/>
      <c r="Q48" s="1"/>
      <c r="R48" s="1"/>
      <c r="S48" s="1"/>
    </row>
    <row r="49" spans="1:19" ht="15">
      <c r="A49" s="1"/>
      <c r="B49" s="98" t="s">
        <v>85</v>
      </c>
      <c r="C49" s="99"/>
      <c r="D49" s="99"/>
      <c r="E49" s="100"/>
      <c r="F49" s="101"/>
      <c r="G49" s="101"/>
      <c r="H49" s="114">
        <f>+Workings!D154</f>
        <v>-937</v>
      </c>
      <c r="I49" s="114">
        <v>-914</v>
      </c>
      <c r="J49" s="96"/>
      <c r="K49" s="1"/>
      <c r="L49" s="114"/>
      <c r="M49" s="1"/>
      <c r="N49" s="114"/>
      <c r="O49" s="1"/>
      <c r="P49" s="1"/>
      <c r="Q49" s="1"/>
      <c r="R49" s="1"/>
      <c r="S49" s="1"/>
    </row>
    <row r="50" spans="1:19" ht="15">
      <c r="A50" s="1"/>
      <c r="B50" s="98"/>
      <c r="C50" s="99"/>
      <c r="D50" s="99"/>
      <c r="E50" s="100"/>
      <c r="F50" s="101"/>
      <c r="G50" s="101"/>
      <c r="H50" s="106">
        <f>SUM(H48:H49)</f>
        <v>28900</v>
      </c>
      <c r="I50" s="106">
        <f>SUM(I48:I49)</f>
        <v>7793</v>
      </c>
      <c r="J50" s="97"/>
      <c r="K50" s="1"/>
      <c r="L50" s="106"/>
      <c r="M50" s="1"/>
      <c r="N50" s="106"/>
      <c r="O50" s="1"/>
      <c r="P50" s="1"/>
      <c r="Q50" s="1"/>
      <c r="R50" s="1"/>
      <c r="S50" s="1"/>
    </row>
    <row r="51" spans="1:19" ht="15">
      <c r="A51" s="1"/>
      <c r="B51" s="98"/>
      <c r="C51" s="99"/>
      <c r="D51" s="99"/>
      <c r="E51" s="100"/>
      <c r="F51" s="101"/>
      <c r="G51" s="101"/>
      <c r="H51" s="107"/>
      <c r="I51" s="107"/>
      <c r="J51" s="94"/>
      <c r="K51" s="1"/>
      <c r="L51" s="107"/>
      <c r="M51" s="1"/>
      <c r="N51" s="107"/>
      <c r="O51" s="1"/>
      <c r="P51" s="1"/>
      <c r="Q51" s="1"/>
      <c r="R51" s="1"/>
      <c r="S51" s="1"/>
    </row>
    <row r="52" spans="1:19" ht="15">
      <c r="A52" s="1"/>
      <c r="B52" s="99"/>
      <c r="C52" s="99"/>
      <c r="D52" s="99"/>
      <c r="E52" s="100"/>
      <c r="F52" s="101"/>
      <c r="G52" s="101"/>
      <c r="H52" s="102"/>
      <c r="I52" s="102"/>
      <c r="J52" s="94"/>
      <c r="K52" s="1"/>
      <c r="L52" s="102"/>
      <c r="M52" s="1"/>
      <c r="N52" s="102"/>
      <c r="O52" s="1"/>
      <c r="P52" s="1"/>
      <c r="Q52" s="1"/>
      <c r="R52" s="1"/>
      <c r="S52" s="1"/>
    </row>
    <row r="53" spans="1:19" ht="15.75" thickBot="1">
      <c r="A53" s="1"/>
      <c r="B53" s="98" t="s">
        <v>80</v>
      </c>
      <c r="C53" s="99"/>
      <c r="D53" s="99"/>
      <c r="E53" s="100"/>
      <c r="F53" s="101"/>
      <c r="G53" s="101"/>
      <c r="H53" s="108">
        <f>H46+H50</f>
        <v>15075</v>
      </c>
      <c r="I53" s="108">
        <f>I46+I50</f>
        <v>14830</v>
      </c>
      <c r="J53" s="94"/>
      <c r="K53" s="1"/>
      <c r="L53" s="108"/>
      <c r="M53" s="1"/>
      <c r="N53" s="108"/>
      <c r="O53" s="1"/>
      <c r="P53" s="1"/>
      <c r="Q53" s="1"/>
      <c r="R53" s="1"/>
      <c r="S53" s="1"/>
    </row>
    <row r="54" spans="1:19" ht="15.75" thickTop="1">
      <c r="A54" s="1"/>
      <c r="B54" s="109"/>
      <c r="C54" s="109"/>
      <c r="D54" s="109"/>
      <c r="E54" s="110"/>
      <c r="F54" s="110"/>
      <c r="G54" s="110"/>
      <c r="H54" s="124">
        <f>+H53-H59</f>
        <v>0</v>
      </c>
      <c r="I54" s="124">
        <f>+I53-I59</f>
        <v>0</v>
      </c>
      <c r="J54" s="94"/>
      <c r="K54" s="1"/>
      <c r="L54" s="124"/>
      <c r="M54" s="1"/>
      <c r="N54" s="124"/>
      <c r="O54" s="1"/>
      <c r="P54" s="1"/>
      <c r="Q54" s="1"/>
      <c r="R54" s="1"/>
      <c r="S54" s="1"/>
    </row>
    <row r="55" spans="1:19" ht="15">
      <c r="A55" s="1"/>
      <c r="B55" s="98" t="s">
        <v>72</v>
      </c>
      <c r="C55" s="109"/>
      <c r="D55" s="109"/>
      <c r="E55" s="110"/>
      <c r="F55" s="110"/>
      <c r="G55" s="110"/>
      <c r="H55" s="111"/>
      <c r="I55" s="111"/>
      <c r="J55" s="94"/>
      <c r="K55" s="1"/>
      <c r="L55" s="111"/>
      <c r="M55" s="1"/>
      <c r="N55" s="111"/>
      <c r="O55" s="1"/>
      <c r="P55" s="1"/>
      <c r="Q55" s="1"/>
      <c r="R55" s="1"/>
      <c r="S55" s="1"/>
    </row>
    <row r="56" spans="1:19" ht="15">
      <c r="A56" s="1"/>
      <c r="B56" s="10" t="s">
        <v>46</v>
      </c>
      <c r="C56" s="109"/>
      <c r="D56" s="109"/>
      <c r="E56" s="110"/>
      <c r="F56" s="110"/>
      <c r="G56" s="110"/>
      <c r="H56" s="10">
        <f>+Workings!D163</f>
        <v>6789</v>
      </c>
      <c r="I56" s="10">
        <v>6049</v>
      </c>
      <c r="J56" s="94"/>
      <c r="K56" s="1"/>
      <c r="L56" s="10"/>
      <c r="M56" s="1"/>
      <c r="N56" s="10"/>
      <c r="O56" s="1"/>
      <c r="P56" s="1"/>
      <c r="Q56" s="1"/>
      <c r="R56" s="1"/>
      <c r="S56" s="1"/>
    </row>
    <row r="57" spans="1:19" ht="15">
      <c r="A57" s="1"/>
      <c r="B57" s="10" t="s">
        <v>45</v>
      </c>
      <c r="C57" s="109"/>
      <c r="D57" s="109"/>
      <c r="E57" s="110"/>
      <c r="F57" s="110"/>
      <c r="G57" s="110"/>
      <c r="H57" s="10">
        <f>+Workings!D164</f>
        <v>14336</v>
      </c>
      <c r="I57" s="10">
        <v>12737</v>
      </c>
      <c r="J57" s="94"/>
      <c r="K57" s="1"/>
      <c r="L57" s="10"/>
      <c r="M57" s="1"/>
      <c r="N57" s="10"/>
      <c r="O57" s="1"/>
      <c r="P57" s="1"/>
      <c r="Q57" s="1"/>
      <c r="R57" s="1"/>
      <c r="S57" s="1"/>
    </row>
    <row r="58" spans="1:19" ht="15">
      <c r="A58" s="1"/>
      <c r="B58" s="10" t="s">
        <v>25</v>
      </c>
      <c r="C58" s="109"/>
      <c r="D58" s="109"/>
      <c r="E58" s="110"/>
      <c r="F58" s="110"/>
      <c r="G58" s="110"/>
      <c r="H58" s="123">
        <f>+Workings!D165</f>
        <v>-6050</v>
      </c>
      <c r="I58" s="123">
        <v>-3956</v>
      </c>
      <c r="J58" s="94"/>
      <c r="K58" s="1"/>
      <c r="L58" s="123"/>
      <c r="M58" s="1"/>
      <c r="N58" s="123"/>
      <c r="O58" s="1"/>
      <c r="P58" s="1"/>
      <c r="Q58" s="1"/>
      <c r="R58" s="1"/>
      <c r="S58" s="1"/>
    </row>
    <row r="59" spans="1:19" ht="15.75" thickBot="1">
      <c r="A59" s="1"/>
      <c r="B59" s="109"/>
      <c r="C59" s="109"/>
      <c r="D59" s="109"/>
      <c r="E59" s="110"/>
      <c r="F59" s="110"/>
      <c r="G59" s="110"/>
      <c r="H59" s="108">
        <f>SUM(H56:H58)</f>
        <v>15075</v>
      </c>
      <c r="I59" s="108">
        <f>SUM(I56:I58)</f>
        <v>14830</v>
      </c>
      <c r="J59" s="94"/>
      <c r="K59" s="1"/>
      <c r="L59" s="108"/>
      <c r="M59" s="1"/>
      <c r="N59" s="108"/>
      <c r="O59" s="1"/>
      <c r="P59" s="1"/>
      <c r="Q59" s="1"/>
      <c r="R59" s="1"/>
      <c r="S59" s="1"/>
    </row>
    <row r="60" spans="1:19" ht="15.75" thickTop="1">
      <c r="A60" s="1"/>
      <c r="B60" s="569" t="s">
        <v>562</v>
      </c>
      <c r="C60" s="581"/>
      <c r="D60" s="581"/>
      <c r="E60" s="581"/>
      <c r="F60" s="581"/>
      <c r="G60" s="581"/>
      <c r="H60" s="581"/>
      <c r="I60" s="581"/>
      <c r="J60" s="581"/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"/>
      <c r="B61" s="581"/>
      <c r="C61" s="581"/>
      <c r="D61" s="581"/>
      <c r="E61" s="581"/>
      <c r="F61" s="581"/>
      <c r="G61" s="581"/>
      <c r="H61" s="581"/>
      <c r="I61" s="581"/>
      <c r="J61" s="581"/>
      <c r="K61" s="1"/>
      <c r="L61" s="1"/>
      <c r="M61" s="1"/>
      <c r="N61" s="1"/>
      <c r="O61" s="1"/>
      <c r="P61" s="1"/>
      <c r="Q61" s="1"/>
      <c r="R61" s="1"/>
      <c r="S61" s="1"/>
    </row>
    <row r="62" spans="1:19" ht="15">
      <c r="A62" s="1"/>
      <c r="B62" s="59"/>
      <c r="C62" s="59"/>
      <c r="D62" s="59"/>
      <c r="E62" s="1"/>
      <c r="F62" s="64"/>
      <c r="G62" s="6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59"/>
      <c r="C63" s="59"/>
      <c r="D63" s="59"/>
      <c r="E63" s="1"/>
      <c r="F63" s="64"/>
      <c r="G63" s="6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"/>
      <c r="B64" s="59"/>
      <c r="C64" s="59"/>
      <c r="D64" s="59"/>
      <c r="E64" s="1"/>
      <c r="F64" s="64"/>
      <c r="G64" s="6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>
      <c r="A65" s="1"/>
      <c r="B65" s="59"/>
      <c r="C65" s="59"/>
      <c r="D65" s="59"/>
      <c r="E65" s="1"/>
      <c r="F65" s="64"/>
      <c r="G65" s="6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>
      <c r="A66" s="1"/>
      <c r="B66" s="59"/>
      <c r="C66" s="59"/>
      <c r="D66" s="59"/>
      <c r="E66" s="1"/>
      <c r="F66" s="64"/>
      <c r="G66" s="6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>
      <c r="A67" s="1"/>
      <c r="B67" s="59"/>
      <c r="C67" s="59"/>
      <c r="D67" s="59"/>
      <c r="E67" s="1"/>
      <c r="F67" s="64"/>
      <c r="G67" s="6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>
      <c r="A68" s="1"/>
      <c r="B68" s="59"/>
      <c r="C68" s="59"/>
      <c r="D68" s="59"/>
      <c r="E68" s="1"/>
      <c r="F68" s="64"/>
      <c r="G68" s="6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>
      <c r="A69" s="1"/>
      <c r="B69" s="59"/>
      <c r="C69" s="59"/>
      <c r="D69" s="59"/>
      <c r="E69" s="1"/>
      <c r="F69" s="64"/>
      <c r="G69" s="6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 thickBot="1">
      <c r="A70" s="1"/>
      <c r="B70" s="59"/>
      <c r="C70" s="59"/>
      <c r="D70" s="59"/>
      <c r="E70" s="1"/>
      <c r="F70" s="64"/>
      <c r="G70" s="64"/>
      <c r="H70" s="112"/>
      <c r="I70" s="64"/>
      <c r="J70" s="1"/>
      <c r="K70" s="1"/>
      <c r="L70" s="64"/>
      <c r="M70" s="1"/>
      <c r="N70" s="64"/>
      <c r="O70" s="1"/>
      <c r="P70" s="1"/>
      <c r="Q70" s="1"/>
      <c r="R70" s="1"/>
      <c r="S70" s="1"/>
    </row>
    <row r="71" spans="1:19" ht="15.75" thickTop="1">
      <c r="A71" s="1"/>
      <c r="B71" s="59"/>
      <c r="C71" s="59"/>
      <c r="D71" s="59"/>
      <c r="E71" s="1"/>
      <c r="F71" s="64"/>
      <c r="G71" s="6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">
      <c r="A72" s="1"/>
      <c r="B72" s="59"/>
      <c r="C72" s="59"/>
      <c r="D72" s="59"/>
      <c r="E72" s="1"/>
      <c r="F72" s="64"/>
      <c r="G72" s="6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">
      <c r="A73" s="1"/>
      <c r="B73" s="59"/>
      <c r="C73" s="59"/>
      <c r="D73" s="59"/>
      <c r="E73" s="1"/>
      <c r="F73" s="64"/>
      <c r="G73" s="6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">
      <c r="A74" s="1"/>
      <c r="B74" s="59"/>
      <c r="C74" s="59"/>
      <c r="D74" s="59"/>
      <c r="E74" s="1"/>
      <c r="F74" s="64"/>
      <c r="G74" s="6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">
      <c r="A75" s="1"/>
      <c r="B75" s="59"/>
      <c r="C75" s="59"/>
      <c r="D75" s="59"/>
      <c r="E75" s="1"/>
      <c r="F75" s="64"/>
      <c r="G75" s="6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">
      <c r="A76" s="1"/>
      <c r="B76" s="59"/>
      <c r="C76" s="59"/>
      <c r="D76" s="59"/>
      <c r="E76" s="1"/>
      <c r="F76" s="64"/>
      <c r="G76" s="6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">
      <c r="A77" s="1"/>
      <c r="B77" s="59"/>
      <c r="C77" s="59"/>
      <c r="D77" s="59"/>
      <c r="E77" s="1"/>
      <c r="F77" s="64"/>
      <c r="G77" s="6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">
      <c r="A78" s="1"/>
      <c r="B78" s="59"/>
      <c r="C78" s="59"/>
      <c r="D78" s="59"/>
      <c r="E78" s="1"/>
      <c r="F78" s="64"/>
      <c r="G78" s="6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">
      <c r="A79" s="1"/>
      <c r="B79" s="59"/>
      <c r="C79" s="59"/>
      <c r="D79" s="59"/>
      <c r="E79" s="1"/>
      <c r="F79" s="64"/>
      <c r="G79" s="6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1"/>
      <c r="B80" s="59"/>
      <c r="C80" s="59"/>
      <c r="D80" s="59"/>
      <c r="E80" s="1"/>
      <c r="F80" s="64"/>
      <c r="G80" s="6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1"/>
      <c r="B81" s="59"/>
      <c r="C81" s="59"/>
      <c r="D81" s="59"/>
      <c r="E81" s="1"/>
      <c r="F81" s="64"/>
      <c r="G81" s="6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1"/>
      <c r="B82" s="59"/>
      <c r="C82" s="59"/>
      <c r="D82" s="59"/>
      <c r="E82" s="1"/>
      <c r="F82" s="64"/>
      <c r="G82" s="6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1"/>
      <c r="B83" s="59"/>
      <c r="C83" s="59"/>
      <c r="D83" s="59"/>
      <c r="E83" s="1"/>
      <c r="F83" s="64"/>
      <c r="G83" s="6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1"/>
      <c r="B84" s="59"/>
      <c r="C84" s="59"/>
      <c r="D84" s="59"/>
      <c r="E84" s="1"/>
      <c r="F84" s="64"/>
      <c r="G84" s="6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1"/>
      <c r="B85" s="59"/>
      <c r="C85" s="59"/>
      <c r="D85" s="59"/>
      <c r="E85" s="1"/>
      <c r="F85" s="64"/>
      <c r="G85" s="6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"/>
      <c r="B86" s="59"/>
      <c r="C86" s="59"/>
      <c r="D86" s="59"/>
      <c r="E86" s="1"/>
      <c r="F86" s="64"/>
      <c r="G86" s="6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">
      <c r="A87" s="1"/>
      <c r="B87" s="59"/>
      <c r="C87" s="59"/>
      <c r="D87" s="59"/>
      <c r="E87" s="1"/>
      <c r="F87" s="64"/>
      <c r="G87" s="6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">
      <c r="A88" s="1"/>
      <c r="B88" s="59"/>
      <c r="C88" s="59"/>
      <c r="D88" s="59"/>
      <c r="E88" s="1"/>
      <c r="F88" s="64"/>
      <c r="G88" s="6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">
      <c r="A89" s="1"/>
      <c r="B89" s="59"/>
      <c r="C89" s="59"/>
      <c r="D89" s="59"/>
      <c r="E89" s="1"/>
      <c r="F89" s="64"/>
      <c r="G89" s="6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">
      <c r="A90" s="1"/>
      <c r="K90" s="1"/>
      <c r="M90" s="1"/>
      <c r="O90" s="1"/>
      <c r="P90" s="1"/>
      <c r="Q90" s="1"/>
      <c r="R90" s="1"/>
      <c r="S90" s="1"/>
    </row>
    <row r="91" spans="1:19" ht="15">
      <c r="A91" s="1"/>
      <c r="K91" s="1"/>
      <c r="M91" s="1"/>
      <c r="O91" s="1"/>
      <c r="P91" s="1"/>
      <c r="Q91" s="1"/>
      <c r="R91" s="1"/>
      <c r="S91" s="1"/>
    </row>
    <row r="92" spans="1:19" ht="15">
      <c r="A92" s="1"/>
      <c r="K92" s="1"/>
      <c r="M92" s="1"/>
      <c r="O92" s="1"/>
      <c r="P92" s="1"/>
      <c r="Q92" s="1"/>
      <c r="R92" s="1"/>
      <c r="S92" s="1"/>
    </row>
    <row r="93" spans="1:19" ht="15">
      <c r="A93" s="1"/>
      <c r="K93" s="1"/>
      <c r="M93" s="1"/>
      <c r="O93" s="1"/>
      <c r="P93" s="1"/>
      <c r="Q93" s="1"/>
      <c r="R93" s="1"/>
      <c r="S93" s="1"/>
    </row>
    <row r="94" spans="1:19" ht="15">
      <c r="A94" s="1"/>
      <c r="K94" s="1"/>
      <c r="M94" s="1"/>
      <c r="O94" s="1"/>
      <c r="P94" s="1"/>
      <c r="Q94" s="1"/>
      <c r="R94" s="1"/>
      <c r="S94" s="1"/>
    </row>
    <row r="95" spans="1:19" ht="15">
      <c r="A95" s="1"/>
      <c r="K95" s="1"/>
      <c r="M95" s="1"/>
      <c r="O95" s="1"/>
      <c r="P95" s="1"/>
      <c r="Q95" s="1"/>
      <c r="R95" s="1"/>
      <c r="S95" s="1"/>
    </row>
    <row r="96" spans="1:19" ht="15">
      <c r="A96" s="1"/>
      <c r="K96" s="1"/>
      <c r="M96" s="1"/>
      <c r="O96" s="1"/>
      <c r="P96" s="1"/>
      <c r="Q96" s="1"/>
      <c r="R96" s="1"/>
      <c r="S96" s="1"/>
    </row>
    <row r="97" spans="1:19" ht="15">
      <c r="A97" s="1"/>
      <c r="K97" s="1"/>
      <c r="M97" s="1"/>
      <c r="O97" s="1"/>
      <c r="P97" s="1"/>
      <c r="Q97" s="1"/>
      <c r="R97" s="1"/>
      <c r="S97" s="1"/>
    </row>
    <row r="98" spans="1:19" ht="15">
      <c r="A98" s="1"/>
      <c r="K98" s="1"/>
      <c r="M98" s="1"/>
      <c r="O98" s="1"/>
      <c r="P98" s="1"/>
      <c r="Q98" s="1"/>
      <c r="R98" s="1"/>
      <c r="S98" s="1"/>
    </row>
    <row r="99" spans="1:19" ht="15">
      <c r="A99" s="1"/>
      <c r="K99" s="1"/>
      <c r="M99" s="1"/>
      <c r="O99" s="1"/>
      <c r="P99" s="1"/>
      <c r="Q99" s="1"/>
      <c r="R99" s="1"/>
      <c r="S99" s="1"/>
    </row>
    <row r="100" spans="1:19" ht="15">
      <c r="A100" s="1"/>
      <c r="K100" s="1"/>
      <c r="M100" s="1"/>
      <c r="O100" s="1"/>
      <c r="P100" s="1"/>
      <c r="Q100" s="1"/>
      <c r="R100" s="1"/>
      <c r="S100" s="1"/>
    </row>
    <row r="101" spans="11:19" ht="15">
      <c r="K101" s="1"/>
      <c r="M101" s="1"/>
      <c r="O101" s="1"/>
      <c r="P101" s="1"/>
      <c r="Q101" s="1"/>
      <c r="R101" s="1"/>
      <c r="S101" s="1"/>
    </row>
  </sheetData>
  <mergeCells count="6">
    <mergeCell ref="B60:J61"/>
    <mergeCell ref="B2:J2"/>
    <mergeCell ref="B4:J4"/>
    <mergeCell ref="B6:J6"/>
    <mergeCell ref="B7:J7"/>
    <mergeCell ref="B3:J3"/>
  </mergeCells>
  <printOptions/>
  <pageMargins left="0.75" right="0.75" top="0.73" bottom="0.42" header="0.5" footer="0.42"/>
  <pageSetup fitToHeight="1" fitToWidth="1" horizontalDpi="360" verticalDpi="36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workbookViewId="0" topLeftCell="A1">
      <selection activeCell="I20" sqref="I20"/>
    </sheetView>
  </sheetViews>
  <sheetFormatPr defaultColWidth="8.88671875" defaultRowHeight="15"/>
  <cols>
    <col min="1" max="1" width="1.77734375" style="141" customWidth="1"/>
    <col min="2" max="2" width="5.3359375" style="141" customWidth="1"/>
    <col min="3" max="3" width="12.3359375" style="141" customWidth="1"/>
    <col min="4" max="4" width="20.4453125" style="141" customWidth="1"/>
    <col min="5" max="5" width="11.99609375" style="143" customWidth="1"/>
    <col min="6" max="6" width="4.5546875" style="144" customWidth="1"/>
    <col min="7" max="7" width="14.6640625" style="141" customWidth="1"/>
    <col min="8" max="8" width="14.10546875" style="141" customWidth="1"/>
    <col min="9" max="9" width="10.77734375" style="141" customWidth="1"/>
    <col min="10" max="10" width="6.3359375" style="141" customWidth="1"/>
    <col min="11" max="11" width="10.77734375" style="141" customWidth="1"/>
    <col min="12" max="16384" width="8.88671875" style="141" customWidth="1"/>
  </cols>
  <sheetData>
    <row r="1" ht="12.75">
      <c r="A1" s="141" t="s">
        <v>437</v>
      </c>
    </row>
    <row r="2" spans="2:11" ht="12.75">
      <c r="B2" s="142" t="s">
        <v>110</v>
      </c>
      <c r="I2" s="552" t="s">
        <v>111</v>
      </c>
      <c r="J2" s="552"/>
      <c r="K2" s="146" t="s">
        <v>112</v>
      </c>
    </row>
    <row r="3" spans="2:11" ht="12.75">
      <c r="B3" s="147" t="s">
        <v>113</v>
      </c>
      <c r="H3" s="145"/>
      <c r="I3" s="143"/>
      <c r="J3" s="143"/>
      <c r="K3" s="143"/>
    </row>
    <row r="4" ht="12.75">
      <c r="B4" s="148" t="s">
        <v>114</v>
      </c>
    </row>
    <row r="5" spans="2:5" ht="12.75">
      <c r="B5" s="142" t="s">
        <v>115</v>
      </c>
      <c r="E5" s="145"/>
    </row>
    <row r="7" spans="2:10" ht="12.75">
      <c r="B7" s="149"/>
      <c r="C7" s="150"/>
      <c r="D7" s="150"/>
      <c r="E7" s="151" t="s">
        <v>116</v>
      </c>
      <c r="F7" s="152"/>
      <c r="G7" s="153" t="s">
        <v>103</v>
      </c>
      <c r="H7" s="151" t="s">
        <v>117</v>
      </c>
      <c r="I7" s="553" t="s">
        <v>118</v>
      </c>
      <c r="J7" s="554"/>
    </row>
    <row r="8" spans="2:10" ht="12.75">
      <c r="B8" s="149"/>
      <c r="C8" s="150"/>
      <c r="D8" s="150"/>
      <c r="E8" s="151"/>
      <c r="F8" s="152"/>
      <c r="G8" s="153" t="s">
        <v>119</v>
      </c>
      <c r="H8" s="155" t="s">
        <v>120</v>
      </c>
      <c r="I8" s="553" t="s">
        <v>121</v>
      </c>
      <c r="J8" s="554"/>
    </row>
    <row r="9" spans="2:11" ht="12.75">
      <c r="B9" s="156"/>
      <c r="C9" s="157"/>
      <c r="D9" s="157"/>
      <c r="E9" s="158" t="s">
        <v>122</v>
      </c>
      <c r="F9" s="159" t="s">
        <v>123</v>
      </c>
      <c r="G9" s="160" t="s">
        <v>124</v>
      </c>
      <c r="H9" s="160" t="s">
        <v>124</v>
      </c>
      <c r="I9" s="161" t="s">
        <v>124</v>
      </c>
      <c r="J9" s="161" t="s">
        <v>125</v>
      </c>
      <c r="K9" s="143"/>
    </row>
    <row r="10" spans="2:10" ht="12.75">
      <c r="B10" s="162"/>
      <c r="C10" s="163"/>
      <c r="D10" s="163"/>
      <c r="E10" s="164"/>
      <c r="F10" s="165"/>
      <c r="G10" s="166"/>
      <c r="H10" s="167"/>
      <c r="I10" s="168"/>
      <c r="J10" s="168"/>
    </row>
    <row r="11" spans="2:10" ht="12.75">
      <c r="B11" s="156" t="s">
        <v>11</v>
      </c>
      <c r="C11" s="157"/>
      <c r="D11" s="157"/>
      <c r="E11" s="151"/>
      <c r="F11" s="169">
        <v>1</v>
      </c>
      <c r="G11" s="170">
        <f>+'[1]Sch 1 - Workings'!AJ11</f>
        <v>158935313.09317267</v>
      </c>
      <c r="H11" s="170">
        <f>+'[1]Sch 1 - Plan'!AL11</f>
        <v>201168656.8143997</v>
      </c>
      <c r="I11" s="168">
        <f>+G11-H11</f>
        <v>-42233343.72122702</v>
      </c>
      <c r="J11" s="171">
        <f>+I11/G11</f>
        <v>-0.26572662109690226</v>
      </c>
    </row>
    <row r="12" spans="2:10" ht="12.75">
      <c r="B12" s="156"/>
      <c r="C12" s="157"/>
      <c r="D12" s="157"/>
      <c r="E12" s="158"/>
      <c r="F12" s="172"/>
      <c r="G12" s="170"/>
      <c r="H12" s="170"/>
      <c r="I12" s="168"/>
      <c r="J12" s="168"/>
    </row>
    <row r="13" spans="2:10" ht="12.75">
      <c r="B13" s="162" t="s">
        <v>126</v>
      </c>
      <c r="C13" s="163"/>
      <c r="D13" s="163"/>
      <c r="E13" s="151"/>
      <c r="F13" s="172">
        <v>2</v>
      </c>
      <c r="G13" s="170">
        <f>+'[1]Sch 1 - Workings'!AJ13</f>
        <v>-132278232.88653645</v>
      </c>
      <c r="H13" s="170">
        <f>+'[1]Sch 1 - Plan'!AL13</f>
        <v>-155249311.8679511</v>
      </c>
      <c r="I13" s="168">
        <f>+G13-H13</f>
        <v>22971078.981414646</v>
      </c>
      <c r="J13" s="171">
        <f>+I13/G13</f>
        <v>-0.17365728646464773</v>
      </c>
    </row>
    <row r="14" spans="2:10" ht="12.75">
      <c r="B14" s="162"/>
      <c r="C14" s="163"/>
      <c r="D14" s="163"/>
      <c r="E14" s="158"/>
      <c r="F14" s="172"/>
      <c r="G14" s="167"/>
      <c r="H14" s="167"/>
      <c r="I14" s="168"/>
      <c r="J14" s="168"/>
    </row>
    <row r="15" spans="2:10" ht="12.75">
      <c r="B15" s="149" t="s">
        <v>127</v>
      </c>
      <c r="C15" s="150"/>
      <c r="D15" s="150" t="s">
        <v>128</v>
      </c>
      <c r="E15" s="151"/>
      <c r="F15" s="169">
        <v>3</v>
      </c>
      <c r="G15" s="173">
        <f>SUM(G11:G13)</f>
        <v>26657080.20663622</v>
      </c>
      <c r="H15" s="173">
        <f>SUM(H11:H13)</f>
        <v>45919344.946448594</v>
      </c>
      <c r="I15" s="168">
        <f>+G15-H15</f>
        <v>-19262264.739812374</v>
      </c>
      <c r="J15" s="171">
        <f>+I15/G15</f>
        <v>-0.7225946949365099</v>
      </c>
    </row>
    <row r="16" spans="2:10" ht="12.75">
      <c r="B16" s="156"/>
      <c r="C16" s="157"/>
      <c r="D16" s="157"/>
      <c r="E16" s="158"/>
      <c r="F16" s="172"/>
      <c r="G16" s="170"/>
      <c r="H16" s="170"/>
      <c r="I16" s="168"/>
      <c r="J16" s="168"/>
    </row>
    <row r="17" spans="2:10" ht="12.75">
      <c r="B17" s="156" t="s">
        <v>129</v>
      </c>
      <c r="C17" s="157"/>
      <c r="D17" s="157"/>
      <c r="E17" s="158"/>
      <c r="F17" s="172"/>
      <c r="G17" s="170"/>
      <c r="H17" s="170"/>
      <c r="I17" s="168"/>
      <c r="J17" s="168"/>
    </row>
    <row r="18" spans="2:10" ht="12.75">
      <c r="B18" s="156"/>
      <c r="C18" s="174" t="s">
        <v>130</v>
      </c>
      <c r="D18" s="174"/>
      <c r="E18" s="151"/>
      <c r="F18" s="169">
        <v>4</v>
      </c>
      <c r="G18" s="170">
        <f>+'[1]Sch 1 - Workings'!AJ18</f>
        <v>0</v>
      </c>
      <c r="H18" s="170">
        <f>+'[1]Sch 1 - Plan'!AL18</f>
        <v>0</v>
      </c>
      <c r="I18" s="168"/>
      <c r="J18" s="168"/>
    </row>
    <row r="19" spans="2:10" ht="12.75">
      <c r="B19" s="156"/>
      <c r="C19" s="157" t="s">
        <v>131</v>
      </c>
      <c r="D19" s="157"/>
      <c r="E19" s="158"/>
      <c r="F19" s="175">
        <v>5</v>
      </c>
      <c r="G19" s="170">
        <f>+'[1]Sch 1 - Workings'!AJ19</f>
        <v>108793.1581016159</v>
      </c>
      <c r="H19" s="170">
        <f>+'[1]Sch 1 - Plan'!AL19</f>
        <v>0</v>
      </c>
      <c r="I19" s="168">
        <f aca="true" t="shared" si="0" ref="I19:I73">+G19-H19</f>
        <v>108793.1581016159</v>
      </c>
      <c r="J19" s="171">
        <f aca="true" t="shared" si="1" ref="J19:J73">+I19/G19</f>
        <v>1</v>
      </c>
    </row>
    <row r="20" spans="2:10" ht="12.75">
      <c r="B20" s="156"/>
      <c r="C20" s="157" t="s">
        <v>132</v>
      </c>
      <c r="D20" s="157"/>
      <c r="E20" s="158"/>
      <c r="F20" s="175">
        <v>6</v>
      </c>
      <c r="G20" s="170">
        <f>+'[1]Sch 1 - Workings'!AJ20</f>
        <v>1874086.0727888811</v>
      </c>
      <c r="H20" s="170">
        <f>+'[1]Sch 1 - Plan'!AL20</f>
        <v>136817.05866202983</v>
      </c>
      <c r="I20" s="168">
        <f t="shared" si="0"/>
        <v>1737269.0141268512</v>
      </c>
      <c r="J20" s="171">
        <f t="shared" si="1"/>
        <v>0.9269953175317991</v>
      </c>
    </row>
    <row r="21" spans="2:10" ht="12.75">
      <c r="B21" s="162"/>
      <c r="C21" s="163"/>
      <c r="D21" s="163"/>
      <c r="E21" s="176"/>
      <c r="F21" s="177"/>
      <c r="G21" s="167"/>
      <c r="H21" s="170">
        <f>+'[1]Sch 1 - Plan'!AL21</f>
        <v>0</v>
      </c>
      <c r="I21" s="168">
        <f t="shared" si="0"/>
        <v>0</v>
      </c>
      <c r="J21" s="171" t="e">
        <f t="shared" si="1"/>
        <v>#DIV/0!</v>
      </c>
    </row>
    <row r="22" spans="2:10" ht="12.75">
      <c r="B22" s="162" t="s">
        <v>133</v>
      </c>
      <c r="C22" s="163"/>
      <c r="D22" s="163"/>
      <c r="E22" s="151"/>
      <c r="F22" s="169">
        <v>7</v>
      </c>
      <c r="G22" s="170">
        <f>+'[1]Sch 1 - Workings'!AJ22</f>
        <v>-14419740.099851314</v>
      </c>
      <c r="H22" s="170">
        <f>+'[1]Sch 1 - Plan'!AL22</f>
        <v>-6485746.943009795</v>
      </c>
      <c r="I22" s="168">
        <f t="shared" si="0"/>
        <v>-7933993.156841519</v>
      </c>
      <c r="J22" s="171">
        <f t="shared" si="1"/>
        <v>0.5502174867162363</v>
      </c>
    </row>
    <row r="23" spans="2:10" ht="12.75">
      <c r="B23" s="162"/>
      <c r="C23" s="163"/>
      <c r="D23" s="163"/>
      <c r="E23" s="151"/>
      <c r="F23" s="169"/>
      <c r="G23" s="170">
        <f>+'[1]Sch 1 - Workings'!AJ23</f>
        <v>0</v>
      </c>
      <c r="H23" s="170">
        <f>+'[1]Sch 1 - Plan'!AL23</f>
        <v>0</v>
      </c>
      <c r="I23" s="168">
        <f t="shared" si="0"/>
        <v>0</v>
      </c>
      <c r="J23" s="171" t="e">
        <f t="shared" si="1"/>
        <v>#DIV/0!</v>
      </c>
    </row>
    <row r="24" spans="2:10" ht="12.75">
      <c r="B24" s="162" t="s">
        <v>134</v>
      </c>
      <c r="C24" s="163"/>
      <c r="D24" s="163"/>
      <c r="E24" s="151" t="s">
        <v>135</v>
      </c>
      <c r="F24" s="169">
        <v>8</v>
      </c>
      <c r="G24" s="170">
        <f>+'[1]Sch 1 - Workings'!AJ24</f>
        <v>-2796596.3303076476</v>
      </c>
      <c r="H24" s="170">
        <f>+'[1]Sch 1 - Plan'!AL24</f>
        <v>-2816379.9589705784</v>
      </c>
      <c r="I24" s="168">
        <f t="shared" si="0"/>
        <v>19783.6286629308</v>
      </c>
      <c r="J24" s="171">
        <f t="shared" si="1"/>
        <v>-0.007074181013730518</v>
      </c>
    </row>
    <row r="25" spans="2:10" ht="12.75">
      <c r="B25" s="162"/>
      <c r="C25" s="163"/>
      <c r="D25" s="163"/>
      <c r="E25" s="151"/>
      <c r="F25" s="169"/>
      <c r="G25" s="170">
        <f>+'[1]Sch 1 - Workings'!AJ25</f>
        <v>0</v>
      </c>
      <c r="H25" s="170">
        <f>+'[1]Sch 1 - Plan'!AL25</f>
        <v>0</v>
      </c>
      <c r="I25" s="168">
        <f t="shared" si="0"/>
        <v>0</v>
      </c>
      <c r="J25" s="171" t="e">
        <f t="shared" si="1"/>
        <v>#DIV/0!</v>
      </c>
    </row>
    <row r="26" spans="2:10" ht="12.75">
      <c r="B26" s="162" t="s">
        <v>136</v>
      </c>
      <c r="C26" s="163"/>
      <c r="D26" s="163"/>
      <c r="E26" s="151" t="s">
        <v>137</v>
      </c>
      <c r="F26" s="169">
        <v>9</v>
      </c>
      <c r="G26" s="170">
        <f>+'[1]Sch 1 - Workings'!AJ26</f>
        <v>-1178488.0832687777</v>
      </c>
      <c r="H26" s="170">
        <f>+'[1]Sch 1 - Plan'!AL26</f>
        <v>-1304222.662551668</v>
      </c>
      <c r="I26" s="168">
        <f t="shared" si="0"/>
        <v>125734.5792828903</v>
      </c>
      <c r="J26" s="171">
        <f t="shared" si="1"/>
        <v>-0.10669143037419584</v>
      </c>
    </row>
    <row r="27" spans="2:10" ht="12.75">
      <c r="B27" s="162"/>
      <c r="C27" s="163"/>
      <c r="D27" s="163"/>
      <c r="E27" s="151"/>
      <c r="F27" s="169"/>
      <c r="G27" s="170">
        <f>+'[1]Sch 1 - Workings'!AJ27</f>
        <v>0</v>
      </c>
      <c r="H27" s="170">
        <f>+'[1]Sch 1 - Plan'!AL27</f>
        <v>0</v>
      </c>
      <c r="I27" s="168">
        <f t="shared" si="0"/>
        <v>0</v>
      </c>
      <c r="J27" s="171" t="e">
        <f t="shared" si="1"/>
        <v>#DIV/0!</v>
      </c>
    </row>
    <row r="28" spans="2:10" ht="12.75">
      <c r="B28" s="162" t="s">
        <v>138</v>
      </c>
      <c r="C28" s="163"/>
      <c r="D28" s="163"/>
      <c r="E28" s="151"/>
      <c r="F28" s="169">
        <v>10</v>
      </c>
      <c r="G28" s="170">
        <f>+'[1]Sch 1 - Workings'!AJ28</f>
        <v>-657000</v>
      </c>
      <c r="H28" s="170">
        <f>+G28</f>
        <v>-657000</v>
      </c>
      <c r="I28" s="168">
        <f t="shared" si="0"/>
        <v>0</v>
      </c>
      <c r="J28" s="171">
        <f t="shared" si="1"/>
        <v>0</v>
      </c>
    </row>
    <row r="29" spans="2:10" ht="12.75">
      <c r="B29" s="162"/>
      <c r="C29" s="163"/>
      <c r="D29" s="163"/>
      <c r="E29" s="151"/>
      <c r="F29" s="169"/>
      <c r="G29" s="170">
        <f>+'[1]Sch 1 - Workings'!AJ29</f>
        <v>0</v>
      </c>
      <c r="H29" s="170">
        <f>+'[1]Sch 1 - Plan'!AL29</f>
        <v>0</v>
      </c>
      <c r="I29" s="168">
        <f t="shared" si="0"/>
        <v>0</v>
      </c>
      <c r="J29" s="171" t="e">
        <f t="shared" si="1"/>
        <v>#DIV/0!</v>
      </c>
    </row>
    <row r="30" spans="2:10" ht="12.75">
      <c r="B30" s="162" t="s">
        <v>27</v>
      </c>
      <c r="C30" s="163"/>
      <c r="D30" s="163"/>
      <c r="E30" s="151"/>
      <c r="F30" s="169">
        <v>11</v>
      </c>
      <c r="G30" s="170">
        <f>+'[1]Sch 1 - Workings'!AJ30</f>
        <v>-7875755.45908733</v>
      </c>
      <c r="H30" s="170">
        <f>+'[1]Sch 1 - Plan'!AL30</f>
        <v>-3999037.4221688583</v>
      </c>
      <c r="I30" s="168">
        <f t="shared" si="0"/>
        <v>-3876718.0369184716</v>
      </c>
      <c r="J30" s="171">
        <f t="shared" si="1"/>
        <v>0.4922344347862369</v>
      </c>
    </row>
    <row r="31" spans="2:10" ht="12.75">
      <c r="B31" s="162"/>
      <c r="C31" s="163"/>
      <c r="D31" s="163"/>
      <c r="E31" s="151"/>
      <c r="F31" s="169"/>
      <c r="G31" s="170">
        <f>+'[1]Sch 1 - Workings'!AJ31</f>
        <v>0</v>
      </c>
      <c r="H31" s="170">
        <f>+'[1]Sch 1 - Plan'!AL31</f>
        <v>0</v>
      </c>
      <c r="I31" s="168">
        <f t="shared" si="0"/>
        <v>0</v>
      </c>
      <c r="J31" s="171" t="e">
        <f t="shared" si="1"/>
        <v>#DIV/0!</v>
      </c>
    </row>
    <row r="32" spans="2:10" ht="13.5" thickBot="1">
      <c r="B32" s="162" t="s">
        <v>28</v>
      </c>
      <c r="C32" s="163"/>
      <c r="D32" s="163"/>
      <c r="E32" s="151"/>
      <c r="F32" s="169">
        <v>12</v>
      </c>
      <c r="G32" s="178">
        <f>+'[1]Sch 1 - Workings'!AJ32</f>
        <v>-1642623.330489779</v>
      </c>
      <c r="H32" s="178">
        <f>+'[1]Sch 1 - Plan'!AL32</f>
        <v>-11359969.558099043</v>
      </c>
      <c r="I32" s="168">
        <f t="shared" si="0"/>
        <v>9717346.227609264</v>
      </c>
      <c r="J32" s="171">
        <f t="shared" si="1"/>
        <v>-5.915748332097447</v>
      </c>
    </row>
    <row r="33" spans="2:10" ht="12.75">
      <c r="B33" s="162"/>
      <c r="C33" s="163"/>
      <c r="D33" s="163"/>
      <c r="E33" s="151"/>
      <c r="F33" s="169"/>
      <c r="G33" s="167"/>
      <c r="H33" s="167"/>
      <c r="I33" s="168">
        <f t="shared" si="0"/>
        <v>0</v>
      </c>
      <c r="J33" s="171" t="e">
        <f t="shared" si="1"/>
        <v>#DIV/0!</v>
      </c>
    </row>
    <row r="34" spans="2:10" ht="12.75">
      <c r="B34" s="162" t="s">
        <v>139</v>
      </c>
      <c r="C34" s="163"/>
      <c r="D34" s="163" t="s">
        <v>140</v>
      </c>
      <c r="E34" s="151"/>
      <c r="F34" s="169">
        <v>13</v>
      </c>
      <c r="G34" s="167">
        <f>SUM(G15:G32)</f>
        <v>69756.13452186901</v>
      </c>
      <c r="H34" s="167">
        <f>SUM(H15:H32)</f>
        <v>19433805.46031068</v>
      </c>
      <c r="I34" s="168">
        <f t="shared" si="0"/>
        <v>-19364049.32578881</v>
      </c>
      <c r="J34" s="171">
        <f t="shared" si="1"/>
        <v>-277.59636422683445</v>
      </c>
    </row>
    <row r="35" spans="2:10" ht="12.75">
      <c r="B35" s="162"/>
      <c r="C35" s="163"/>
      <c r="D35" s="163"/>
      <c r="E35" s="151"/>
      <c r="F35" s="169"/>
      <c r="G35" s="167"/>
      <c r="H35" s="167"/>
      <c r="I35" s="168">
        <f t="shared" si="0"/>
        <v>0</v>
      </c>
      <c r="J35" s="171" t="e">
        <f t="shared" si="1"/>
        <v>#DIV/0!</v>
      </c>
    </row>
    <row r="36" spans="2:10" ht="12.75">
      <c r="B36" s="162" t="s">
        <v>141</v>
      </c>
      <c r="C36" s="163"/>
      <c r="D36" s="163"/>
      <c r="E36" s="151" t="s">
        <v>142</v>
      </c>
      <c r="F36" s="169">
        <v>14</v>
      </c>
      <c r="G36" s="170">
        <f>+'[1]Sch 1 - Workings'!AJ36</f>
        <v>-3876774.273554213</v>
      </c>
      <c r="H36" s="170">
        <f>+'[1]Sch 1 - Plan'!AL36</f>
        <v>-2327861.1508495687</v>
      </c>
      <c r="I36" s="168">
        <f t="shared" si="0"/>
        <v>-1548913.1227046442</v>
      </c>
      <c r="J36" s="171">
        <f t="shared" si="1"/>
        <v>0.3995365769089791</v>
      </c>
    </row>
    <row r="37" spans="2:10" ht="12.75">
      <c r="B37" s="156"/>
      <c r="C37" s="157"/>
      <c r="D37" s="157"/>
      <c r="E37" s="158"/>
      <c r="F37" s="159"/>
      <c r="G37" s="170">
        <f>+'[1]Sch 1 - Workings'!AJ37</f>
        <v>0</v>
      </c>
      <c r="H37" s="179"/>
      <c r="I37" s="168">
        <f t="shared" si="0"/>
        <v>0</v>
      </c>
      <c r="J37" s="171" t="e">
        <f t="shared" si="1"/>
        <v>#DIV/0!</v>
      </c>
    </row>
    <row r="38" spans="2:10" ht="12.75">
      <c r="B38" s="156" t="s">
        <v>143</v>
      </c>
      <c r="C38" s="157"/>
      <c r="D38" s="157"/>
      <c r="E38" s="158"/>
      <c r="F38" s="172">
        <v>15</v>
      </c>
      <c r="G38" s="170">
        <f>+'[1]Sch 1 - Workings'!AJ38</f>
        <v>0</v>
      </c>
      <c r="H38" s="170"/>
      <c r="I38" s="168">
        <f t="shared" si="0"/>
        <v>0</v>
      </c>
      <c r="J38" s="171" t="e">
        <f t="shared" si="1"/>
        <v>#DIV/0!</v>
      </c>
    </row>
    <row r="39" spans="2:10" ht="12.75">
      <c r="B39" s="162"/>
      <c r="C39" s="163"/>
      <c r="D39" s="163"/>
      <c r="E39" s="158"/>
      <c r="F39" s="175"/>
      <c r="G39" s="170">
        <f>+'[1]Sch 1 - Workings'!AJ39</f>
        <v>-1883</v>
      </c>
      <c r="H39" s="170">
        <f>+'[1]Sch 1 - Plan'!AL39</f>
        <v>24000</v>
      </c>
      <c r="I39" s="168">
        <f t="shared" si="0"/>
        <v>-25883</v>
      </c>
      <c r="J39" s="171">
        <f t="shared" si="1"/>
        <v>13.745618693574084</v>
      </c>
    </row>
    <row r="40" spans="2:10" ht="12.75">
      <c r="B40" s="162"/>
      <c r="C40" s="163"/>
      <c r="D40" s="163"/>
      <c r="E40" s="158"/>
      <c r="F40" s="175">
        <v>16</v>
      </c>
      <c r="G40" s="170">
        <f>+'[1]Sch 1 - Workings'!AJ40</f>
        <v>0</v>
      </c>
      <c r="H40" s="173"/>
      <c r="I40" s="168">
        <f t="shared" si="0"/>
        <v>0</v>
      </c>
      <c r="J40" s="171" t="e">
        <f t="shared" si="1"/>
        <v>#DIV/0!</v>
      </c>
    </row>
    <row r="41" spans="2:10" ht="12.75">
      <c r="B41" s="162"/>
      <c r="C41" s="163"/>
      <c r="D41" s="163"/>
      <c r="E41" s="158"/>
      <c r="F41" s="175"/>
      <c r="G41" s="170">
        <f>+'[1]Sch 1 - Workings'!AJ41</f>
        <v>0</v>
      </c>
      <c r="H41" s="173"/>
      <c r="I41" s="168">
        <f t="shared" si="0"/>
        <v>0</v>
      </c>
      <c r="J41" s="171" t="e">
        <f t="shared" si="1"/>
        <v>#DIV/0!</v>
      </c>
    </row>
    <row r="42" spans="2:10" ht="13.5" thickBot="1">
      <c r="B42" s="162" t="s">
        <v>144</v>
      </c>
      <c r="C42" s="163"/>
      <c r="D42" s="163"/>
      <c r="E42" s="158"/>
      <c r="F42" s="175">
        <v>17</v>
      </c>
      <c r="G42" s="178">
        <f>+'[1]Sch 1 - Workings'!AJ42</f>
        <v>0</v>
      </c>
      <c r="H42" s="178"/>
      <c r="I42" s="168">
        <f t="shared" si="0"/>
        <v>0</v>
      </c>
      <c r="J42" s="171" t="e">
        <f t="shared" si="1"/>
        <v>#DIV/0!</v>
      </c>
    </row>
    <row r="43" spans="2:10" ht="12.75">
      <c r="B43" s="162"/>
      <c r="C43" s="163"/>
      <c r="D43" s="163"/>
      <c r="E43" s="176"/>
      <c r="F43" s="177"/>
      <c r="G43" s="167"/>
      <c r="H43" s="167"/>
      <c r="I43" s="168">
        <f t="shared" si="0"/>
        <v>0</v>
      </c>
      <c r="J43" s="171" t="e">
        <f t="shared" si="1"/>
        <v>#DIV/0!</v>
      </c>
    </row>
    <row r="44" spans="2:10" ht="12.75">
      <c r="B44" s="180" t="s">
        <v>145</v>
      </c>
      <c r="C44" s="174"/>
      <c r="D44" s="174"/>
      <c r="E44" s="158"/>
      <c r="F44" s="159">
        <v>18</v>
      </c>
      <c r="G44" s="167">
        <f>SUM(G34:G42)</f>
        <v>-3808901.139032344</v>
      </c>
      <c r="H44" s="167">
        <f>SUM(H34:H42)</f>
        <v>17129944.30946111</v>
      </c>
      <c r="I44" s="168">
        <f t="shared" si="0"/>
        <v>-20938845.448493455</v>
      </c>
      <c r="J44" s="171">
        <f t="shared" si="1"/>
        <v>5.497345476867114</v>
      </c>
    </row>
    <row r="45" spans="2:10" ht="12.75">
      <c r="B45" s="162"/>
      <c r="C45" s="163"/>
      <c r="D45" s="163" t="s">
        <v>146</v>
      </c>
      <c r="E45" s="176"/>
      <c r="F45" s="177"/>
      <c r="G45" s="167"/>
      <c r="H45" s="167"/>
      <c r="I45" s="168">
        <f t="shared" si="0"/>
        <v>0</v>
      </c>
      <c r="J45" s="171" t="e">
        <f t="shared" si="1"/>
        <v>#DIV/0!</v>
      </c>
    </row>
    <row r="46" spans="2:10" ht="13.5" thickBot="1">
      <c r="B46" s="156" t="s">
        <v>51</v>
      </c>
      <c r="C46" s="157"/>
      <c r="D46" s="157"/>
      <c r="E46" s="151" t="s">
        <v>147</v>
      </c>
      <c r="F46" s="169">
        <v>19</v>
      </c>
      <c r="G46" s="178">
        <f>+'[1]Sch 1 - Workings'!AJ46</f>
        <v>-1056050.5914048308</v>
      </c>
      <c r="H46" s="178">
        <f>+'[1]Sch 1 - Plan'!AL46</f>
        <v>-4177649.4522691704</v>
      </c>
      <c r="I46" s="168">
        <f t="shared" si="0"/>
        <v>3121598.8608643394</v>
      </c>
      <c r="J46" s="171">
        <f t="shared" si="1"/>
        <v>-2.955917913659586</v>
      </c>
    </row>
    <row r="47" spans="2:10" ht="12.75">
      <c r="B47" s="180"/>
      <c r="C47" s="174"/>
      <c r="D47" s="174"/>
      <c r="E47" s="151"/>
      <c r="F47" s="169"/>
      <c r="G47" s="167"/>
      <c r="H47" s="167"/>
      <c r="I47" s="168">
        <f t="shared" si="0"/>
        <v>0</v>
      </c>
      <c r="J47" s="171" t="e">
        <f t="shared" si="1"/>
        <v>#DIV/0!</v>
      </c>
    </row>
    <row r="48" spans="2:10" ht="12.75">
      <c r="B48" s="149" t="s">
        <v>148</v>
      </c>
      <c r="C48" s="150"/>
      <c r="D48" s="181"/>
      <c r="E48" s="158"/>
      <c r="F48" s="159">
        <v>20</v>
      </c>
      <c r="G48" s="182">
        <f>SUM(G44:G46)</f>
        <v>-4864951.730437174</v>
      </c>
      <c r="H48" s="182">
        <f>SUM(H44:H46)</f>
        <v>12952294.857191939</v>
      </c>
      <c r="I48" s="168">
        <f t="shared" si="0"/>
        <v>-17817246.587629113</v>
      </c>
      <c r="J48" s="171">
        <f t="shared" si="1"/>
        <v>3.6623686266313724</v>
      </c>
    </row>
    <row r="49" spans="2:10" ht="12.75">
      <c r="B49" s="162"/>
      <c r="C49" s="163"/>
      <c r="D49" s="183" t="s">
        <v>149</v>
      </c>
      <c r="E49" s="151"/>
      <c r="F49" s="169"/>
      <c r="G49" s="167"/>
      <c r="H49" s="167"/>
      <c r="I49" s="168">
        <f t="shared" si="0"/>
        <v>0</v>
      </c>
      <c r="J49" s="171" t="e">
        <f t="shared" si="1"/>
        <v>#DIV/0!</v>
      </c>
    </row>
    <row r="50" spans="2:10" ht="12.75">
      <c r="B50" s="156"/>
      <c r="C50" s="157"/>
      <c r="D50" s="157"/>
      <c r="E50" s="158"/>
      <c r="F50" s="172"/>
      <c r="G50" s="167"/>
      <c r="H50" s="167"/>
      <c r="I50" s="168">
        <f t="shared" si="0"/>
        <v>0</v>
      </c>
      <c r="J50" s="171" t="e">
        <f t="shared" si="1"/>
        <v>#DIV/0!</v>
      </c>
    </row>
    <row r="51" spans="2:10" ht="13.5" thickBot="1">
      <c r="B51" s="156" t="s">
        <v>150</v>
      </c>
      <c r="C51" s="157"/>
      <c r="D51" s="184"/>
      <c r="E51" s="151" t="s">
        <v>151</v>
      </c>
      <c r="F51" s="169">
        <v>21</v>
      </c>
      <c r="G51" s="178">
        <f>'[1]Sch 1 - Workings'!AJ51</f>
        <v>-436741</v>
      </c>
      <c r="H51" s="178"/>
      <c r="I51" s="168">
        <f t="shared" si="0"/>
        <v>-436741</v>
      </c>
      <c r="J51" s="171">
        <f t="shared" si="1"/>
        <v>1</v>
      </c>
    </row>
    <row r="52" spans="2:10" ht="12.75">
      <c r="B52" s="156"/>
      <c r="C52" s="157"/>
      <c r="D52" s="184"/>
      <c r="E52" s="151"/>
      <c r="F52" s="169"/>
      <c r="G52" s="167"/>
      <c r="H52" s="167"/>
      <c r="I52" s="168">
        <f t="shared" si="0"/>
        <v>0</v>
      </c>
      <c r="J52" s="171" t="e">
        <f t="shared" si="1"/>
        <v>#DIV/0!</v>
      </c>
    </row>
    <row r="53" spans="2:10" ht="12.75">
      <c r="B53" s="149" t="s">
        <v>152</v>
      </c>
      <c r="C53" s="150"/>
      <c r="D53" s="181"/>
      <c r="E53" s="151"/>
      <c r="F53" s="169">
        <v>22</v>
      </c>
      <c r="G53" s="167">
        <f>SUM(G48:G51)</f>
        <v>-5301692.730437174</v>
      </c>
      <c r="H53" s="167">
        <f>SUM(H48:H51)</f>
        <v>12952294.857191939</v>
      </c>
      <c r="I53" s="168">
        <f t="shared" si="0"/>
        <v>-18253987.587629113</v>
      </c>
      <c r="J53" s="171">
        <f t="shared" si="1"/>
        <v>3.4430489497877597</v>
      </c>
    </row>
    <row r="54" spans="2:10" ht="12.75">
      <c r="B54" s="180"/>
      <c r="C54" s="174"/>
      <c r="D54" s="174" t="s">
        <v>153</v>
      </c>
      <c r="E54" s="151"/>
      <c r="F54" s="169"/>
      <c r="G54" s="179"/>
      <c r="H54" s="179"/>
      <c r="I54" s="168">
        <f t="shared" si="0"/>
        <v>0</v>
      </c>
      <c r="J54" s="171" t="e">
        <f t="shared" si="1"/>
        <v>#DIV/0!</v>
      </c>
    </row>
    <row r="55" spans="2:10" ht="12.75">
      <c r="B55" s="149" t="s">
        <v>154</v>
      </c>
      <c r="C55" s="150"/>
      <c r="D55" s="150"/>
      <c r="E55" s="151"/>
      <c r="F55" s="169">
        <v>23</v>
      </c>
      <c r="G55" s="173"/>
      <c r="H55" s="173"/>
      <c r="I55" s="168">
        <f t="shared" si="0"/>
        <v>0</v>
      </c>
      <c r="J55" s="171" t="e">
        <f t="shared" si="1"/>
        <v>#DIV/0!</v>
      </c>
    </row>
    <row r="56" spans="2:10" ht="13.5" thickBot="1">
      <c r="B56" s="149"/>
      <c r="C56" s="150"/>
      <c r="D56" s="150"/>
      <c r="E56" s="151"/>
      <c r="F56" s="169"/>
      <c r="G56" s="178"/>
      <c r="H56" s="178"/>
      <c r="I56" s="168">
        <f t="shared" si="0"/>
        <v>0</v>
      </c>
      <c r="J56" s="171" t="e">
        <f t="shared" si="1"/>
        <v>#DIV/0!</v>
      </c>
    </row>
    <row r="57" spans="2:10" ht="12.75" customHeight="1">
      <c r="B57" s="149" t="s">
        <v>155</v>
      </c>
      <c r="C57" s="150"/>
      <c r="D57" s="181"/>
      <c r="E57" s="185"/>
      <c r="F57" s="186"/>
      <c r="G57" s="187">
        <f>SUM(G53:G56)</f>
        <v>-5301692.730437174</v>
      </c>
      <c r="H57" s="187">
        <f>SUM(H53:H56)</f>
        <v>12952294.857191939</v>
      </c>
      <c r="I57" s="168">
        <f t="shared" si="0"/>
        <v>-18253987.587629113</v>
      </c>
      <c r="J57" s="171">
        <f t="shared" si="1"/>
        <v>3.4430489497877597</v>
      </c>
    </row>
    <row r="58" spans="2:10" ht="12.75">
      <c r="B58" s="180"/>
      <c r="C58" s="174"/>
      <c r="D58" s="188" t="s">
        <v>156</v>
      </c>
      <c r="E58" s="189" t="s">
        <v>157</v>
      </c>
      <c r="F58" s="177">
        <v>24</v>
      </c>
      <c r="G58" s="179"/>
      <c r="H58" s="179"/>
      <c r="I58" s="168">
        <f t="shared" si="0"/>
        <v>0</v>
      </c>
      <c r="J58" s="171" t="e">
        <f t="shared" si="1"/>
        <v>#DIV/0!</v>
      </c>
    </row>
    <row r="59" spans="2:10" ht="12.75">
      <c r="B59" s="190" t="s">
        <v>158</v>
      </c>
      <c r="C59" s="157"/>
      <c r="D59" s="184"/>
      <c r="E59" s="158" t="s">
        <v>159</v>
      </c>
      <c r="F59" s="172">
        <v>25</v>
      </c>
      <c r="G59" s="170">
        <f>+'[1]Sch 1 - Workings'!AJ59</f>
        <v>22336825</v>
      </c>
      <c r="H59" s="170">
        <f>+G59</f>
        <v>22336825</v>
      </c>
      <c r="I59" s="168">
        <f t="shared" si="0"/>
        <v>0</v>
      </c>
      <c r="J59" s="171">
        <f t="shared" si="1"/>
        <v>0</v>
      </c>
    </row>
    <row r="60" spans="2:10" ht="12.75">
      <c r="B60" s="156" t="s">
        <v>160</v>
      </c>
      <c r="C60" s="157"/>
      <c r="D60" s="157"/>
      <c r="E60" s="151" t="s">
        <v>161</v>
      </c>
      <c r="F60" s="169">
        <v>26</v>
      </c>
      <c r="G60" s="170" t="s">
        <v>162</v>
      </c>
      <c r="H60" s="170"/>
      <c r="I60" s="168" t="e">
        <f t="shared" si="0"/>
        <v>#VALUE!</v>
      </c>
      <c r="J60" s="171" t="e">
        <f t="shared" si="1"/>
        <v>#VALUE!</v>
      </c>
    </row>
    <row r="61" spans="2:10" ht="12.75">
      <c r="B61" s="180" t="s">
        <v>163</v>
      </c>
      <c r="C61" s="174"/>
      <c r="D61" s="174"/>
      <c r="E61" s="158"/>
      <c r="F61" s="172">
        <v>27</v>
      </c>
      <c r="G61" s="179" t="s">
        <v>162</v>
      </c>
      <c r="H61" s="179"/>
      <c r="I61" s="168" t="e">
        <f t="shared" si="0"/>
        <v>#VALUE!</v>
      </c>
      <c r="J61" s="171" t="e">
        <f t="shared" si="1"/>
        <v>#VALUE!</v>
      </c>
    </row>
    <row r="62" spans="2:10" ht="12.75">
      <c r="B62" s="149"/>
      <c r="C62" s="150"/>
      <c r="D62" s="150"/>
      <c r="E62" s="151"/>
      <c r="F62" s="169"/>
      <c r="G62" s="173"/>
      <c r="H62" s="173"/>
      <c r="I62" s="168">
        <f t="shared" si="0"/>
        <v>0</v>
      </c>
      <c r="J62" s="171" t="e">
        <f t="shared" si="1"/>
        <v>#DIV/0!</v>
      </c>
    </row>
    <row r="63" spans="2:10" ht="12.75">
      <c r="B63" s="156" t="s">
        <v>164</v>
      </c>
      <c r="C63" s="157"/>
      <c r="D63" s="157"/>
      <c r="E63" s="158" t="s">
        <v>165</v>
      </c>
      <c r="F63" s="172">
        <v>28</v>
      </c>
      <c r="G63" s="170" t="s">
        <v>162</v>
      </c>
      <c r="H63" s="170"/>
      <c r="I63" s="168" t="e">
        <f t="shared" si="0"/>
        <v>#VALUE!</v>
      </c>
      <c r="J63" s="171" t="e">
        <f t="shared" si="1"/>
        <v>#VALUE!</v>
      </c>
    </row>
    <row r="64" spans="2:10" ht="13.5" thickBot="1">
      <c r="B64" s="162"/>
      <c r="C64" s="163"/>
      <c r="D64" s="163"/>
      <c r="E64" s="151"/>
      <c r="F64" s="169"/>
      <c r="G64" s="191"/>
      <c r="H64" s="191"/>
      <c r="I64" s="168">
        <f t="shared" si="0"/>
        <v>0</v>
      </c>
      <c r="J64" s="171" t="e">
        <f t="shared" si="1"/>
        <v>#DIV/0!</v>
      </c>
    </row>
    <row r="65" spans="2:10" ht="20.25" customHeight="1">
      <c r="B65" s="162" t="s">
        <v>166</v>
      </c>
      <c r="C65" s="163"/>
      <c r="D65" s="163"/>
      <c r="E65" s="158"/>
      <c r="F65" s="172">
        <v>29</v>
      </c>
      <c r="G65" s="167">
        <f>SUM(G57:G63)</f>
        <v>17035132.269562826</v>
      </c>
      <c r="H65" s="167">
        <f>SUM(H57:H63)</f>
        <v>35289119.857191935</v>
      </c>
      <c r="I65" s="168">
        <f t="shared" si="0"/>
        <v>-18253987.58762911</v>
      </c>
      <c r="J65" s="171">
        <f t="shared" si="1"/>
        <v>-1.071549507146713</v>
      </c>
    </row>
    <row r="66" spans="2:10" ht="12.75">
      <c r="B66" s="162"/>
      <c r="C66" s="163"/>
      <c r="D66" s="163"/>
      <c r="E66" s="151"/>
      <c r="F66" s="169"/>
      <c r="G66" s="167"/>
      <c r="H66" s="167"/>
      <c r="I66" s="168">
        <f t="shared" si="0"/>
        <v>0</v>
      </c>
      <c r="J66" s="171" t="e">
        <f t="shared" si="1"/>
        <v>#DIV/0!</v>
      </c>
    </row>
    <row r="67" spans="2:10" ht="12.75">
      <c r="B67" s="162" t="s">
        <v>62</v>
      </c>
      <c r="C67" s="163"/>
      <c r="D67" s="163"/>
      <c r="E67" s="158"/>
      <c r="F67" s="172"/>
      <c r="G67" s="167"/>
      <c r="H67" s="167"/>
      <c r="I67" s="168">
        <f t="shared" si="0"/>
        <v>0</v>
      </c>
      <c r="J67" s="171" t="e">
        <f t="shared" si="1"/>
        <v>#DIV/0!</v>
      </c>
    </row>
    <row r="68" spans="2:10" ht="12.75">
      <c r="B68" s="192" t="s">
        <v>167</v>
      </c>
      <c r="C68" s="150"/>
      <c r="D68" s="150"/>
      <c r="E68" s="151"/>
      <c r="F68" s="169">
        <v>30</v>
      </c>
      <c r="G68" s="173" t="s">
        <v>162</v>
      </c>
      <c r="H68" s="173" t="s">
        <v>162</v>
      </c>
      <c r="I68" s="168" t="e">
        <f t="shared" si="0"/>
        <v>#VALUE!</v>
      </c>
      <c r="J68" s="171" t="e">
        <f t="shared" si="1"/>
        <v>#VALUE!</v>
      </c>
    </row>
    <row r="69" spans="2:10" ht="12.75">
      <c r="B69" s="193" t="s">
        <v>168</v>
      </c>
      <c r="C69" s="157"/>
      <c r="D69" s="157"/>
      <c r="E69" s="158"/>
      <c r="F69" s="172">
        <v>31</v>
      </c>
      <c r="G69" s="170" t="s">
        <v>162</v>
      </c>
      <c r="H69" s="170" t="s">
        <v>162</v>
      </c>
      <c r="I69" s="168" t="e">
        <f t="shared" si="0"/>
        <v>#VALUE!</v>
      </c>
      <c r="J69" s="171" t="e">
        <f t="shared" si="1"/>
        <v>#VALUE!</v>
      </c>
    </row>
    <row r="70" spans="2:10" ht="12.75">
      <c r="B70" s="180"/>
      <c r="C70" s="174"/>
      <c r="D70" s="174"/>
      <c r="E70" s="151"/>
      <c r="F70" s="169"/>
      <c r="G70" s="179"/>
      <c r="H70" s="179"/>
      <c r="I70" s="168">
        <f t="shared" si="0"/>
        <v>0</v>
      </c>
      <c r="J70" s="171" t="e">
        <f t="shared" si="1"/>
        <v>#DIV/0!</v>
      </c>
    </row>
    <row r="71" spans="2:10" ht="12.75">
      <c r="B71" s="156"/>
      <c r="C71" s="157"/>
      <c r="D71" s="157"/>
      <c r="E71" s="158"/>
      <c r="F71" s="172"/>
      <c r="G71" s="170" t="s">
        <v>162</v>
      </c>
      <c r="H71" s="170" t="s">
        <v>162</v>
      </c>
      <c r="I71" s="168" t="e">
        <f t="shared" si="0"/>
        <v>#VALUE!</v>
      </c>
      <c r="J71" s="171" t="e">
        <f t="shared" si="1"/>
        <v>#VALUE!</v>
      </c>
    </row>
    <row r="72" spans="2:10" ht="13.5" thickBot="1">
      <c r="B72" s="156"/>
      <c r="C72" s="157"/>
      <c r="D72" s="157"/>
      <c r="E72" s="151"/>
      <c r="F72" s="169"/>
      <c r="G72" s="178"/>
      <c r="H72" s="178"/>
      <c r="I72" s="168">
        <f t="shared" si="0"/>
        <v>0</v>
      </c>
      <c r="J72" s="171" t="e">
        <f t="shared" si="1"/>
        <v>#DIV/0!</v>
      </c>
    </row>
    <row r="73" spans="2:10" ht="21" customHeight="1" thickBot="1">
      <c r="B73" s="194" t="s">
        <v>169</v>
      </c>
      <c r="C73" s="163"/>
      <c r="D73" s="163"/>
      <c r="E73" s="158" t="s">
        <v>165</v>
      </c>
      <c r="F73" s="172">
        <v>32</v>
      </c>
      <c r="G73" s="178">
        <f>SUM(G65:G71)</f>
        <v>17035132.269562826</v>
      </c>
      <c r="H73" s="178">
        <f>SUM(H65:H71)</f>
        <v>35289119.857191935</v>
      </c>
      <c r="I73" s="168">
        <f t="shared" si="0"/>
        <v>-18253987.58762911</v>
      </c>
      <c r="J73" s="171">
        <f t="shared" si="1"/>
        <v>-1.071549507146713</v>
      </c>
    </row>
    <row r="74" spans="7:8" ht="12.75">
      <c r="G74" s="195"/>
      <c r="H74" s="195"/>
    </row>
    <row r="75" spans="2:8" ht="12.75">
      <c r="B75" s="174"/>
      <c r="C75" s="174"/>
      <c r="D75" s="174"/>
      <c r="E75" s="196"/>
      <c r="F75" s="197"/>
      <c r="G75" s="174">
        <f>+G73-'[1]#Sch3'!AK17</f>
        <v>0</v>
      </c>
      <c r="H75" s="174"/>
    </row>
    <row r="76" spans="2:8" ht="12.75">
      <c r="B76" s="174"/>
      <c r="C76" s="174"/>
      <c r="D76" s="174"/>
      <c r="E76" s="196"/>
      <c r="F76" s="197"/>
      <c r="G76" s="174"/>
      <c r="H76" s="174"/>
    </row>
    <row r="77" spans="2:8" ht="12.75">
      <c r="B77" s="174"/>
      <c r="C77" s="174"/>
      <c r="D77" s="174"/>
      <c r="E77" s="196"/>
      <c r="F77" s="197"/>
      <c r="G77" s="174"/>
      <c r="H77" s="174"/>
    </row>
    <row r="78" spans="2:8" ht="12.75">
      <c r="B78" s="174"/>
      <c r="C78" s="174"/>
      <c r="D78" s="174"/>
      <c r="E78" s="196"/>
      <c r="F78" s="197"/>
      <c r="G78" s="174"/>
      <c r="H78" s="174"/>
    </row>
    <row r="79" spans="2:8" ht="12.75">
      <c r="B79" s="174"/>
      <c r="C79" s="174"/>
      <c r="D79" s="174"/>
      <c r="E79" s="196"/>
      <c r="F79" s="197"/>
      <c r="G79" s="174"/>
      <c r="H79" s="174"/>
    </row>
    <row r="80" spans="2:8" ht="12.75">
      <c r="B80" s="174"/>
      <c r="C80" s="174"/>
      <c r="D80" s="174"/>
      <c r="E80" s="196"/>
      <c r="F80" s="197"/>
      <c r="G80" s="174"/>
      <c r="H80" s="174"/>
    </row>
    <row r="81" spans="2:8" ht="12.75">
      <c r="B81" s="174"/>
      <c r="C81" s="174"/>
      <c r="D81" s="174"/>
      <c r="E81" s="196"/>
      <c r="F81" s="197"/>
      <c r="G81" s="174"/>
      <c r="H81" s="174"/>
    </row>
    <row r="82" spans="2:8" ht="12.75">
      <c r="B82" s="174"/>
      <c r="C82" s="174"/>
      <c r="D82" s="174"/>
      <c r="E82" s="196"/>
      <c r="F82" s="197"/>
      <c r="G82" s="174"/>
      <c r="H82" s="174"/>
    </row>
    <row r="83" spans="2:8" ht="12.75">
      <c r="B83" s="174"/>
      <c r="C83" s="174"/>
      <c r="D83" s="174"/>
      <c r="E83" s="196"/>
      <c r="F83" s="197"/>
      <c r="G83" s="174"/>
      <c r="H83" s="174"/>
    </row>
    <row r="84" spans="2:8" ht="12.75">
      <c r="B84" s="174"/>
      <c r="C84" s="174"/>
      <c r="D84" s="174"/>
      <c r="E84" s="196"/>
      <c r="F84" s="197"/>
      <c r="G84" s="174"/>
      <c r="H84" s="174"/>
    </row>
    <row r="85" spans="2:8" ht="12.75">
      <c r="B85" s="174"/>
      <c r="C85" s="174"/>
      <c r="D85" s="174"/>
      <c r="E85" s="196"/>
      <c r="F85" s="197"/>
      <c r="G85" s="174"/>
      <c r="H85" s="174"/>
    </row>
  </sheetData>
  <mergeCells count="3">
    <mergeCell ref="I2:J2"/>
    <mergeCell ref="I7:J7"/>
    <mergeCell ref="I8:J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11"/>
  <sheetViews>
    <sheetView workbookViewId="0" topLeftCell="A4">
      <pane xSplit="5" ySplit="4" topLeftCell="AK6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8671875" defaultRowHeight="15"/>
  <cols>
    <col min="1" max="1" width="1.4375" style="198" customWidth="1"/>
    <col min="2" max="2" width="1.4375" style="141" customWidth="1"/>
    <col min="3" max="3" width="4.5546875" style="141" customWidth="1"/>
    <col min="4" max="4" width="23.3359375" style="141" customWidth="1"/>
    <col min="5" max="5" width="5.3359375" style="141" customWidth="1"/>
    <col min="6" max="6" width="11.21484375" style="143" customWidth="1"/>
    <col min="7" max="7" width="4.6640625" style="143" customWidth="1"/>
    <col min="8" max="8" width="13.77734375" style="143" hidden="1" customWidth="1"/>
    <col min="9" max="9" width="13.21484375" style="143" hidden="1" customWidth="1"/>
    <col min="10" max="10" width="10.21484375" style="141" hidden="1" customWidth="1"/>
    <col min="11" max="14" width="13.77734375" style="143" customWidth="1"/>
    <col min="15" max="15" width="13.77734375" style="199" customWidth="1"/>
    <col min="16" max="16" width="13.77734375" style="143" customWidth="1"/>
    <col min="17" max="17" width="13.77734375" style="199" customWidth="1"/>
    <col min="18" max="18" width="13.77734375" style="143" customWidth="1"/>
    <col min="19" max="19" width="13.77734375" style="199" customWidth="1"/>
    <col min="20" max="20" width="13.77734375" style="143" customWidth="1"/>
    <col min="21" max="21" width="13.77734375" style="199" customWidth="1"/>
    <col min="22" max="22" width="13.77734375" style="143" customWidth="1"/>
    <col min="23" max="23" width="13.77734375" style="200" customWidth="1"/>
    <col min="24" max="24" width="13.77734375" style="143" customWidth="1"/>
    <col min="25" max="25" width="13.77734375" style="199" customWidth="1"/>
    <col min="26" max="26" width="13.77734375" style="143" customWidth="1"/>
    <col min="27" max="27" width="13.77734375" style="199" customWidth="1"/>
    <col min="28" max="28" width="13.77734375" style="143" customWidth="1"/>
    <col min="29" max="29" width="13.77734375" style="199" customWidth="1"/>
    <col min="30" max="30" width="13.77734375" style="143" customWidth="1"/>
    <col min="31" max="31" width="13.77734375" style="200" customWidth="1"/>
    <col min="32" max="32" width="13.77734375" style="201" customWidth="1"/>
    <col min="33" max="34" width="13.77734375" style="202" customWidth="1"/>
    <col min="35" max="35" width="13.77734375" style="203" customWidth="1"/>
    <col min="36" max="36" width="13.77734375" style="202" customWidth="1"/>
    <col min="37" max="37" width="13.77734375" style="203" customWidth="1"/>
    <col min="38" max="16384" width="8.88671875" style="141" customWidth="1"/>
  </cols>
  <sheetData>
    <row r="1" spans="2:38" ht="12.75">
      <c r="B1" s="198"/>
      <c r="C1" s="198"/>
      <c r="D1" s="198"/>
      <c r="E1" s="198"/>
      <c r="F1" s="199"/>
      <c r="G1" s="199"/>
      <c r="H1" s="199"/>
      <c r="I1" s="199"/>
      <c r="J1" s="198"/>
      <c r="K1" s="199"/>
      <c r="L1" s="199"/>
      <c r="M1" s="199"/>
      <c r="N1" s="199"/>
      <c r="P1" s="199"/>
      <c r="R1" s="199"/>
      <c r="T1" s="199"/>
      <c r="V1" s="199"/>
      <c r="W1" s="199"/>
      <c r="X1" s="199"/>
      <c r="Z1" s="199"/>
      <c r="AB1" s="199"/>
      <c r="AD1" s="199"/>
      <c r="AL1" s="204" t="s">
        <v>112</v>
      </c>
    </row>
    <row r="2" spans="2:10" ht="12.75">
      <c r="B2" s="142" t="str">
        <f>+'[1]Sch 1'!B2</f>
        <v>GROUP/COMPANY : TAMCO CORPORATE HOLDINGS BERHAD</v>
      </c>
      <c r="I2" s="205" t="s">
        <v>170</v>
      </c>
      <c r="J2" s="206"/>
    </row>
    <row r="3" spans="2:37" ht="12.75">
      <c r="B3" s="147" t="s">
        <v>113</v>
      </c>
      <c r="H3" s="207"/>
      <c r="I3" s="208"/>
      <c r="J3" s="206"/>
      <c r="K3" s="207"/>
      <c r="L3" s="207"/>
      <c r="M3" s="207"/>
      <c r="N3" s="207"/>
      <c r="O3" s="209"/>
      <c r="P3" s="207"/>
      <c r="Q3" s="209"/>
      <c r="R3" s="207"/>
      <c r="S3" s="209"/>
      <c r="T3" s="207"/>
      <c r="U3" s="209"/>
      <c r="V3" s="207"/>
      <c r="W3" s="210"/>
      <c r="X3" s="207"/>
      <c r="Y3" s="209"/>
      <c r="Z3" s="207"/>
      <c r="AA3" s="209"/>
      <c r="AB3" s="207"/>
      <c r="AC3" s="209"/>
      <c r="AD3" s="207"/>
      <c r="AE3" s="210"/>
      <c r="AF3" s="211"/>
      <c r="AG3" s="212"/>
      <c r="AH3" s="212"/>
      <c r="AI3" s="213"/>
      <c r="AJ3" s="212"/>
      <c r="AK3" s="213"/>
    </row>
    <row r="4" ht="12.75">
      <c r="B4" s="142" t="s">
        <v>171</v>
      </c>
    </row>
    <row r="5" spans="2:37" ht="12.75">
      <c r="B5" s="214"/>
      <c r="C5" s="215"/>
      <c r="D5" s="215"/>
      <c r="E5" s="216"/>
      <c r="F5" s="217"/>
      <c r="G5" s="217"/>
      <c r="K5" s="218" t="s">
        <v>172</v>
      </c>
      <c r="L5" s="218" t="s">
        <v>173</v>
      </c>
      <c r="M5" s="218" t="s">
        <v>174</v>
      </c>
      <c r="N5" s="218" t="s">
        <v>175</v>
      </c>
      <c r="O5" s="218" t="s">
        <v>176</v>
      </c>
      <c r="P5" s="218" t="s">
        <v>176</v>
      </c>
      <c r="Q5" s="218" t="s">
        <v>177</v>
      </c>
      <c r="R5" s="218" t="str">
        <f>+Q5</f>
        <v>KRI</v>
      </c>
      <c r="S5" s="218" t="s">
        <v>178</v>
      </c>
      <c r="T5" s="218" t="str">
        <f>+S5</f>
        <v>UMK</v>
      </c>
      <c r="U5" s="218" t="s">
        <v>179</v>
      </c>
      <c r="V5" s="218" t="str">
        <f>+U5</f>
        <v>TEIA</v>
      </c>
      <c r="W5" s="218" t="s">
        <v>180</v>
      </c>
      <c r="X5" s="218" t="s">
        <v>181</v>
      </c>
      <c r="Y5" s="218" t="s">
        <v>182</v>
      </c>
      <c r="Z5" s="218" t="str">
        <f>+Y5</f>
        <v>TES</v>
      </c>
      <c r="AA5" s="218" t="s">
        <v>183</v>
      </c>
      <c r="AB5" s="218" t="str">
        <f>+AA5</f>
        <v>TSH</v>
      </c>
      <c r="AC5" s="218" t="s">
        <v>184</v>
      </c>
      <c r="AD5" s="218" t="str">
        <f>+AC5</f>
        <v>TEHK</v>
      </c>
      <c r="AE5" s="218" t="s">
        <v>185</v>
      </c>
      <c r="AF5" s="218" t="s">
        <v>186</v>
      </c>
      <c r="AG5" s="218" t="s">
        <v>187</v>
      </c>
      <c r="AH5" s="218" t="s">
        <v>187</v>
      </c>
      <c r="AI5" s="218" t="s">
        <v>186</v>
      </c>
      <c r="AJ5" s="218" t="s">
        <v>188</v>
      </c>
      <c r="AK5" s="218" t="s">
        <v>189</v>
      </c>
    </row>
    <row r="6" spans="2:37" ht="12.75">
      <c r="B6" s="219"/>
      <c r="C6" s="220"/>
      <c r="D6" s="220"/>
      <c r="E6" s="221"/>
      <c r="F6" s="222" t="s">
        <v>116</v>
      </c>
      <c r="G6" s="222"/>
      <c r="H6" s="223" t="str">
        <f>+'[1]Sch 1'!G7</f>
        <v>30.11.2004</v>
      </c>
      <c r="I6" s="224" t="s">
        <v>190</v>
      </c>
      <c r="J6" s="143"/>
      <c r="K6" s="218" t="s">
        <v>191</v>
      </c>
      <c r="L6" s="218" t="s">
        <v>191</v>
      </c>
      <c r="M6" s="218" t="s">
        <v>191</v>
      </c>
      <c r="N6" s="218" t="s">
        <v>191</v>
      </c>
      <c r="O6" s="218" t="s">
        <v>192</v>
      </c>
      <c r="P6" s="218" t="s">
        <v>191</v>
      </c>
      <c r="Q6" s="218" t="s">
        <v>193</v>
      </c>
      <c r="R6" s="218" t="s">
        <v>191</v>
      </c>
      <c r="S6" s="218" t="s">
        <v>194</v>
      </c>
      <c r="T6" s="218" t="s">
        <v>191</v>
      </c>
      <c r="U6" s="218" t="s">
        <v>194</v>
      </c>
      <c r="V6" s="218" t="s">
        <v>191</v>
      </c>
      <c r="W6" s="218" t="s">
        <v>191</v>
      </c>
      <c r="X6" s="218" t="s">
        <v>191</v>
      </c>
      <c r="Y6" s="218" t="s">
        <v>195</v>
      </c>
      <c r="Z6" s="218" t="s">
        <v>191</v>
      </c>
      <c r="AA6" s="218" t="s">
        <v>192</v>
      </c>
      <c r="AB6" s="218" t="s">
        <v>191</v>
      </c>
      <c r="AC6" s="218" t="s">
        <v>196</v>
      </c>
      <c r="AD6" s="218" t="s">
        <v>191</v>
      </c>
      <c r="AE6" s="218" t="s">
        <v>191</v>
      </c>
      <c r="AF6" s="218" t="s">
        <v>191</v>
      </c>
      <c r="AG6" s="218" t="s">
        <v>196</v>
      </c>
      <c r="AH6" s="218" t="s">
        <v>191</v>
      </c>
      <c r="AI6" s="218" t="s">
        <v>191</v>
      </c>
      <c r="AJ6" s="218" t="s">
        <v>191</v>
      </c>
      <c r="AK6" s="218" t="s">
        <v>191</v>
      </c>
    </row>
    <row r="7" spans="2:37" ht="12.75">
      <c r="B7" s="225"/>
      <c r="C7" s="226"/>
      <c r="D7" s="226"/>
      <c r="E7" s="227"/>
      <c r="F7" s="222" t="s">
        <v>122</v>
      </c>
      <c r="G7" s="222" t="s">
        <v>123</v>
      </c>
      <c r="H7" s="228" t="str">
        <f>+'[1]Sch 1'!G9</f>
        <v>$</v>
      </c>
      <c r="I7" s="224" t="s">
        <v>197</v>
      </c>
      <c r="J7" s="143"/>
      <c r="K7" s="229">
        <v>1</v>
      </c>
      <c r="L7" s="229">
        <v>1</v>
      </c>
      <c r="M7" s="229">
        <v>1</v>
      </c>
      <c r="N7" s="229">
        <v>1</v>
      </c>
      <c r="O7" s="229">
        <f>+'[1]FX'!C10</f>
        <v>2.1854</v>
      </c>
      <c r="P7" s="229">
        <f>+O7</f>
        <v>2.1854</v>
      </c>
      <c r="Q7" s="229">
        <f>+'[1]FX'!C9</f>
        <v>2.3981</v>
      </c>
      <c r="R7" s="229">
        <f>+Q7</f>
        <v>2.3981</v>
      </c>
      <c r="S7" s="229">
        <f>+'[1]FX'!C5</f>
        <v>0.3336</v>
      </c>
      <c r="T7" s="229">
        <f>+S7</f>
        <v>0.3336</v>
      </c>
      <c r="U7" s="229">
        <f>+T7</f>
        <v>0.3336</v>
      </c>
      <c r="V7" s="229">
        <f>+U7</f>
        <v>0.3336</v>
      </c>
      <c r="W7" s="229"/>
      <c r="X7" s="229">
        <v>1</v>
      </c>
      <c r="Y7" s="229">
        <f>+'[1]FX'!C6</f>
        <v>0.4311</v>
      </c>
      <c r="Z7" s="229">
        <f>+Y7</f>
        <v>0.4311</v>
      </c>
      <c r="AA7" s="229">
        <f>+P7</f>
        <v>2.1854</v>
      </c>
      <c r="AB7" s="229">
        <f>+AA7</f>
        <v>2.1854</v>
      </c>
      <c r="AC7" s="229">
        <f>+'[1]FX'!C7</f>
        <v>2.06</v>
      </c>
      <c r="AD7" s="229">
        <f>+AC7</f>
        <v>2.06</v>
      </c>
      <c r="AE7" s="229" t="s">
        <v>124</v>
      </c>
      <c r="AF7" s="229" t="s">
        <v>124</v>
      </c>
      <c r="AG7" s="229" t="s">
        <v>124</v>
      </c>
      <c r="AH7" s="229">
        <f>+'[1]FX'!C7</f>
        <v>2.06</v>
      </c>
      <c r="AI7" s="229" t="s">
        <v>124</v>
      </c>
      <c r="AJ7" s="229" t="s">
        <v>124</v>
      </c>
      <c r="AK7" s="229" t="s">
        <v>124</v>
      </c>
    </row>
    <row r="8" spans="2:37" ht="12.75">
      <c r="B8" s="149"/>
      <c r="C8" s="150"/>
      <c r="D8" s="150"/>
      <c r="E8" s="150"/>
      <c r="F8" s="155"/>
      <c r="G8" s="155"/>
      <c r="H8" s="230"/>
      <c r="I8" s="224"/>
      <c r="K8" s="230"/>
      <c r="L8" s="230"/>
      <c r="M8" s="230"/>
      <c r="N8" s="230"/>
      <c r="O8" s="231"/>
      <c r="P8" s="230"/>
      <c r="Q8" s="231"/>
      <c r="R8" s="230"/>
      <c r="S8" s="231"/>
      <c r="T8" s="230"/>
      <c r="U8" s="231"/>
      <c r="V8" s="230"/>
      <c r="W8" s="232">
        <f>+K8+P8+R8+T8+V8</f>
        <v>0</v>
      </c>
      <c r="X8" s="230"/>
      <c r="Y8" s="231"/>
      <c r="Z8" s="230"/>
      <c r="AA8" s="231"/>
      <c r="AB8" s="230"/>
      <c r="AC8" s="231"/>
      <c r="AD8" s="230"/>
      <c r="AE8" s="233"/>
      <c r="AF8" s="234"/>
      <c r="AG8" s="231"/>
      <c r="AH8" s="235"/>
      <c r="AI8" s="236"/>
      <c r="AJ8" s="235"/>
      <c r="AK8" s="236"/>
    </row>
    <row r="9" spans="2:37" ht="12.75">
      <c r="B9" s="149" t="s">
        <v>198</v>
      </c>
      <c r="C9" s="150"/>
      <c r="D9" s="150"/>
      <c r="E9" s="150"/>
      <c r="F9" s="155"/>
      <c r="G9" s="155">
        <v>1</v>
      </c>
      <c r="H9" s="237">
        <v>3000000</v>
      </c>
      <c r="I9" s="238"/>
      <c r="K9" s="237">
        <v>129743860</v>
      </c>
      <c r="L9" s="237">
        <v>200000</v>
      </c>
      <c r="M9" s="237">
        <v>80000</v>
      </c>
      <c r="N9" s="237">
        <v>100</v>
      </c>
      <c r="O9" s="239">
        <v>49889400</v>
      </c>
      <c r="P9" s="237">
        <v>15145978</v>
      </c>
      <c r="Q9" s="239">
        <v>25929000</v>
      </c>
      <c r="R9" s="237">
        <v>557714</v>
      </c>
      <c r="S9" s="239">
        <v>13500000</v>
      </c>
      <c r="T9" s="237">
        <v>39249344</v>
      </c>
      <c r="U9" s="239">
        <v>2</v>
      </c>
      <c r="V9" s="237">
        <v>5</v>
      </c>
      <c r="W9" s="232">
        <f>+K9+P9+R9+T9+V9+L9+M9+N9</f>
        <v>184977001</v>
      </c>
      <c r="X9" s="237">
        <v>900000</v>
      </c>
      <c r="Y9" s="239">
        <v>3000000</v>
      </c>
      <c r="Z9" s="237">
        <v>4190472</v>
      </c>
      <c r="AA9" s="239">
        <v>853000</v>
      </c>
      <c r="AB9" s="237">
        <v>390304</v>
      </c>
      <c r="AC9" s="239">
        <v>5000000</v>
      </c>
      <c r="AD9" s="237">
        <v>1688277</v>
      </c>
      <c r="AE9" s="232">
        <f>+X9+Z9+AD9+AB9</f>
        <v>7169053</v>
      </c>
      <c r="AF9" s="240">
        <f>+AE9+W9</f>
        <v>192146054</v>
      </c>
      <c r="AG9" s="239">
        <v>1000000</v>
      </c>
      <c r="AH9" s="241">
        <f aca="true" t="shared" si="0" ref="AH9:AH19">+AG9/AH$7</f>
        <v>485436.8932038835</v>
      </c>
      <c r="AI9" s="242">
        <f>+AF9+AH9</f>
        <v>192631490.89320388</v>
      </c>
      <c r="AJ9" s="241">
        <f>-62887466-165</f>
        <v>-62887631</v>
      </c>
      <c r="AK9" s="242">
        <f>+AI9+AJ9</f>
        <v>129743859.89320388</v>
      </c>
    </row>
    <row r="10" spans="2:37" ht="12.75">
      <c r="B10" s="149"/>
      <c r="C10" s="150"/>
      <c r="D10" s="150"/>
      <c r="E10" s="150"/>
      <c r="F10" s="155"/>
      <c r="G10" s="155"/>
      <c r="H10" s="237"/>
      <c r="I10" s="238"/>
      <c r="K10" s="237"/>
      <c r="L10" s="237"/>
      <c r="M10" s="237"/>
      <c r="N10" s="237"/>
      <c r="O10" s="239"/>
      <c r="P10" s="237"/>
      <c r="Q10" s="239"/>
      <c r="R10" s="237"/>
      <c r="S10" s="239"/>
      <c r="T10" s="237"/>
      <c r="U10" s="239"/>
      <c r="V10" s="237"/>
      <c r="W10" s="232">
        <f>+K10+P10+R10+T10+V10</f>
        <v>0</v>
      </c>
      <c r="X10" s="237"/>
      <c r="Y10" s="239"/>
      <c r="Z10" s="237"/>
      <c r="AA10" s="239"/>
      <c r="AB10" s="237"/>
      <c r="AC10" s="239"/>
      <c r="AD10" s="237"/>
      <c r="AE10" s="232">
        <f>+X10+Z10+AD10</f>
        <v>0</v>
      </c>
      <c r="AF10" s="240">
        <f aca="true" t="shared" si="1" ref="AF10:AF20">+AE10+W10</f>
        <v>0</v>
      </c>
      <c r="AG10" s="239"/>
      <c r="AH10" s="241">
        <f t="shared" si="0"/>
        <v>0</v>
      </c>
      <c r="AI10" s="242">
        <f aca="true" t="shared" si="2" ref="AI10:AI20">+AF10+AH10</f>
        <v>0</v>
      </c>
      <c r="AJ10" s="241"/>
      <c r="AK10" s="242">
        <f aca="true" t="shared" si="3" ref="AK10:AK19">+AI10+AJ10</f>
        <v>0</v>
      </c>
    </row>
    <row r="11" spans="2:37" ht="12.75">
      <c r="B11" s="149" t="s">
        <v>199</v>
      </c>
      <c r="C11" s="150"/>
      <c r="D11" s="150"/>
      <c r="E11" s="150"/>
      <c r="F11" s="155" t="s">
        <v>162</v>
      </c>
      <c r="G11" s="155" t="s">
        <v>162</v>
      </c>
      <c r="H11" s="237" t="s">
        <v>162</v>
      </c>
      <c r="I11" s="238"/>
      <c r="K11" s="237" t="s">
        <v>162</v>
      </c>
      <c r="L11" s="237"/>
      <c r="M11" s="237"/>
      <c r="N11" s="237"/>
      <c r="O11" s="239" t="s">
        <v>162</v>
      </c>
      <c r="P11" s="237" t="s">
        <v>162</v>
      </c>
      <c r="Q11" s="239" t="s">
        <v>162</v>
      </c>
      <c r="R11" s="237" t="s">
        <v>162</v>
      </c>
      <c r="S11" s="239" t="s">
        <v>162</v>
      </c>
      <c r="T11" s="237" t="s">
        <v>162</v>
      </c>
      <c r="U11" s="239" t="s">
        <v>162</v>
      </c>
      <c r="V11" s="237" t="s">
        <v>162</v>
      </c>
      <c r="W11" s="232"/>
      <c r="X11" s="237" t="s">
        <v>162</v>
      </c>
      <c r="Y11" s="239" t="s">
        <v>162</v>
      </c>
      <c r="Z11" s="237" t="s">
        <v>162</v>
      </c>
      <c r="AA11" s="239" t="s">
        <v>162</v>
      </c>
      <c r="AB11" s="237" t="s">
        <v>162</v>
      </c>
      <c r="AC11" s="239" t="s">
        <v>162</v>
      </c>
      <c r="AD11" s="237" t="s">
        <v>162</v>
      </c>
      <c r="AE11" s="232"/>
      <c r="AF11" s="240">
        <f t="shared" si="1"/>
        <v>0</v>
      </c>
      <c r="AG11" s="239">
        <v>0</v>
      </c>
      <c r="AH11" s="241">
        <f t="shared" si="0"/>
        <v>0</v>
      </c>
      <c r="AI11" s="242">
        <f t="shared" si="2"/>
        <v>0</v>
      </c>
      <c r="AJ11" s="241">
        <v>0</v>
      </c>
      <c r="AK11" s="242">
        <f t="shared" si="3"/>
        <v>0</v>
      </c>
    </row>
    <row r="12" spans="2:37" ht="12.75">
      <c r="B12" s="149"/>
      <c r="C12" s="150"/>
      <c r="D12" s="150"/>
      <c r="E12" s="150"/>
      <c r="F12" s="155"/>
      <c r="G12" s="155"/>
      <c r="H12" s="237"/>
      <c r="I12" s="238"/>
      <c r="K12" s="237"/>
      <c r="L12" s="237"/>
      <c r="M12" s="237"/>
      <c r="N12" s="237"/>
      <c r="O12" s="239"/>
      <c r="P12" s="237"/>
      <c r="Q12" s="239"/>
      <c r="R12" s="237"/>
      <c r="S12" s="239"/>
      <c r="T12" s="237"/>
      <c r="U12" s="239"/>
      <c r="V12" s="237"/>
      <c r="W12" s="232">
        <f aca="true" t="shared" si="4" ref="W12:W18">+K12+P12+R12+T12+V12</f>
        <v>0</v>
      </c>
      <c r="X12" s="237"/>
      <c r="Y12" s="239"/>
      <c r="Z12" s="237"/>
      <c r="AA12" s="239"/>
      <c r="AB12" s="237"/>
      <c r="AC12" s="239"/>
      <c r="AD12" s="237"/>
      <c r="AE12" s="232">
        <f>+X12+Z12+AD12</f>
        <v>0</v>
      </c>
      <c r="AF12" s="240">
        <f t="shared" si="1"/>
        <v>0</v>
      </c>
      <c r="AG12" s="239"/>
      <c r="AH12" s="241">
        <f t="shared" si="0"/>
        <v>0</v>
      </c>
      <c r="AI12" s="242">
        <f t="shared" si="2"/>
        <v>0</v>
      </c>
      <c r="AJ12" s="241"/>
      <c r="AK12" s="242">
        <f t="shared" si="3"/>
        <v>0</v>
      </c>
    </row>
    <row r="13" spans="2:37" ht="12.75">
      <c r="B13" s="149"/>
      <c r="C13" s="150" t="s">
        <v>200</v>
      </c>
      <c r="D13" s="150"/>
      <c r="E13" s="150"/>
      <c r="F13" s="155" t="s">
        <v>201</v>
      </c>
      <c r="G13" s="155">
        <v>2</v>
      </c>
      <c r="H13" s="237"/>
      <c r="I13" s="238"/>
      <c r="K13" s="237"/>
      <c r="L13" s="237"/>
      <c r="M13" s="237"/>
      <c r="N13" s="237"/>
      <c r="O13" s="239">
        <v>0</v>
      </c>
      <c r="P13" s="237">
        <f>+O13/P$7</f>
        <v>0</v>
      </c>
      <c r="Q13" s="239"/>
      <c r="R13" s="237">
        <f>+Q13/R$7</f>
        <v>0</v>
      </c>
      <c r="S13" s="239">
        <v>2972930</v>
      </c>
      <c r="T13" s="237">
        <v>5612479</v>
      </c>
      <c r="U13" s="239"/>
      <c r="V13" s="237">
        <f aca="true" t="shared" si="5" ref="V13:V19">+U13/V$7</f>
        <v>0</v>
      </c>
      <c r="W13" s="232">
        <f t="shared" si="4"/>
        <v>5612479</v>
      </c>
      <c r="X13" s="237"/>
      <c r="Y13" s="239"/>
      <c r="Z13" s="237">
        <f aca="true" t="shared" si="6" ref="Z13:AB19">+Y13/Z$7</f>
        <v>0</v>
      </c>
      <c r="AA13" s="239"/>
      <c r="AB13" s="237">
        <f t="shared" si="6"/>
        <v>0</v>
      </c>
      <c r="AC13" s="239">
        <v>690000</v>
      </c>
      <c r="AD13" s="237">
        <v>232982</v>
      </c>
      <c r="AE13" s="232">
        <f aca="true" t="shared" si="7" ref="AE13:AE18">+X13+Z13+AD13+AB13</f>
        <v>232982</v>
      </c>
      <c r="AF13" s="240">
        <f t="shared" si="1"/>
        <v>5845461</v>
      </c>
      <c r="AG13" s="239">
        <v>0</v>
      </c>
      <c r="AH13" s="241">
        <f t="shared" si="0"/>
        <v>0</v>
      </c>
      <c r="AI13" s="242">
        <f t="shared" si="2"/>
        <v>5845461</v>
      </c>
      <c r="AJ13" s="241">
        <v>-5845461</v>
      </c>
      <c r="AK13" s="242">
        <f t="shared" si="3"/>
        <v>0</v>
      </c>
    </row>
    <row r="14" spans="2:37" ht="12.75">
      <c r="B14" s="149"/>
      <c r="C14" s="150" t="s">
        <v>202</v>
      </c>
      <c r="D14" s="150"/>
      <c r="E14" s="150"/>
      <c r="F14" s="155" t="s">
        <v>201</v>
      </c>
      <c r="G14" s="155">
        <v>3</v>
      </c>
      <c r="H14" s="237"/>
      <c r="I14" s="238"/>
      <c r="K14" s="237"/>
      <c r="L14" s="237"/>
      <c r="M14" s="237"/>
      <c r="N14" s="237"/>
      <c r="O14" s="239">
        <v>0</v>
      </c>
      <c r="P14" s="237">
        <f>+O14/P$7</f>
        <v>0</v>
      </c>
      <c r="Q14" s="239"/>
      <c r="R14" s="237">
        <f>+Q14/R$7</f>
        <v>0</v>
      </c>
      <c r="S14" s="239">
        <v>282000</v>
      </c>
      <c r="T14" s="237">
        <v>532377</v>
      </c>
      <c r="U14" s="239"/>
      <c r="V14" s="237">
        <f t="shared" si="5"/>
        <v>0</v>
      </c>
      <c r="W14" s="232">
        <f t="shared" si="4"/>
        <v>532377</v>
      </c>
      <c r="X14" s="237"/>
      <c r="Y14" s="239"/>
      <c r="Z14" s="237">
        <f t="shared" si="6"/>
        <v>0</v>
      </c>
      <c r="AA14" s="239"/>
      <c r="AB14" s="237">
        <f t="shared" si="6"/>
        <v>0</v>
      </c>
      <c r="AC14" s="239">
        <v>5290939</v>
      </c>
      <c r="AD14" s="237">
        <v>0</v>
      </c>
      <c r="AE14" s="232">
        <f t="shared" si="7"/>
        <v>0</v>
      </c>
      <c r="AF14" s="240">
        <f t="shared" si="1"/>
        <v>532377</v>
      </c>
      <c r="AG14" s="239">
        <v>0</v>
      </c>
      <c r="AH14" s="241">
        <f t="shared" si="0"/>
        <v>0</v>
      </c>
      <c r="AI14" s="242">
        <f t="shared" si="2"/>
        <v>532377</v>
      </c>
      <c r="AJ14" s="241">
        <v>-532377</v>
      </c>
      <c r="AK14" s="242">
        <f t="shared" si="3"/>
        <v>0</v>
      </c>
    </row>
    <row r="15" spans="2:37" ht="12.75">
      <c r="B15" s="149" t="s">
        <v>162</v>
      </c>
      <c r="C15" s="150" t="s">
        <v>203</v>
      </c>
      <c r="D15" s="150"/>
      <c r="E15" s="150"/>
      <c r="F15" s="155" t="s">
        <v>201</v>
      </c>
      <c r="G15" s="155">
        <v>4</v>
      </c>
      <c r="H15" s="237"/>
      <c r="I15" s="238"/>
      <c r="K15" s="237"/>
      <c r="L15" s="237"/>
      <c r="M15" s="237"/>
      <c r="N15" s="237"/>
      <c r="O15" s="239">
        <v>0</v>
      </c>
      <c r="P15" s="237">
        <v>6711165</v>
      </c>
      <c r="Q15" s="239"/>
      <c r="R15" s="237">
        <v>-1419082</v>
      </c>
      <c r="S15" s="239"/>
      <c r="T15" s="237">
        <f>-10935710-189</f>
        <v>-10935899</v>
      </c>
      <c r="U15" s="239"/>
      <c r="V15" s="237">
        <v>-13259</v>
      </c>
      <c r="W15" s="232">
        <f t="shared" si="4"/>
        <v>-5657075</v>
      </c>
      <c r="X15" s="237"/>
      <c r="Y15" s="239"/>
      <c r="Z15" s="237">
        <v>3642283</v>
      </c>
      <c r="AA15" s="239"/>
      <c r="AB15" s="237">
        <v>-6391</v>
      </c>
      <c r="AC15" s="239"/>
      <c r="AD15" s="237">
        <v>1883203</v>
      </c>
      <c r="AE15" s="232">
        <f t="shared" si="7"/>
        <v>5519095</v>
      </c>
      <c r="AF15" s="240">
        <f t="shared" si="1"/>
        <v>-137980</v>
      </c>
      <c r="AG15" s="239">
        <v>0</v>
      </c>
      <c r="AH15" s="241">
        <v>-1519</v>
      </c>
      <c r="AI15" s="242">
        <f t="shared" si="2"/>
        <v>-139499</v>
      </c>
      <c r="AJ15" s="241">
        <v>-3313548</v>
      </c>
      <c r="AK15" s="242">
        <f t="shared" si="3"/>
        <v>-3453047</v>
      </c>
    </row>
    <row r="16" spans="2:37" ht="12.75">
      <c r="B16" s="149"/>
      <c r="C16" s="150" t="s">
        <v>204</v>
      </c>
      <c r="D16" s="150"/>
      <c r="E16" s="150"/>
      <c r="F16" s="155" t="s">
        <v>201</v>
      </c>
      <c r="G16" s="155">
        <v>5</v>
      </c>
      <c r="H16" s="237"/>
      <c r="I16" s="238"/>
      <c r="K16" s="237"/>
      <c r="L16" s="237"/>
      <c r="M16" s="237"/>
      <c r="N16" s="237"/>
      <c r="O16" s="239">
        <v>0</v>
      </c>
      <c r="P16" s="237">
        <f>+O16/P$7</f>
        <v>0</v>
      </c>
      <c r="Q16" s="239"/>
      <c r="R16" s="237">
        <f>+Q16/R$7</f>
        <v>0</v>
      </c>
      <c r="S16" s="239"/>
      <c r="T16" s="237">
        <f>+S16/T$7</f>
        <v>0</v>
      </c>
      <c r="U16" s="239"/>
      <c r="V16" s="237">
        <f t="shared" si="5"/>
        <v>0</v>
      </c>
      <c r="W16" s="232">
        <f t="shared" si="4"/>
        <v>0</v>
      </c>
      <c r="X16" s="237"/>
      <c r="Y16" s="239"/>
      <c r="Z16" s="237">
        <f t="shared" si="6"/>
        <v>0</v>
      </c>
      <c r="AA16" s="239"/>
      <c r="AB16" s="237">
        <f t="shared" si="6"/>
        <v>0</v>
      </c>
      <c r="AC16" s="239"/>
      <c r="AD16" s="237">
        <f>+AC16/AD$7</f>
        <v>0</v>
      </c>
      <c r="AE16" s="232">
        <f t="shared" si="7"/>
        <v>0</v>
      </c>
      <c r="AF16" s="240">
        <f t="shared" si="1"/>
        <v>0</v>
      </c>
      <c r="AG16" s="239">
        <v>0</v>
      </c>
      <c r="AH16" s="241">
        <f t="shared" si="0"/>
        <v>0</v>
      </c>
      <c r="AI16" s="242">
        <f t="shared" si="2"/>
        <v>0</v>
      </c>
      <c r="AJ16" s="241"/>
      <c r="AK16" s="242">
        <f t="shared" si="3"/>
        <v>0</v>
      </c>
    </row>
    <row r="17" spans="2:37" ht="12.75">
      <c r="B17" s="149" t="s">
        <v>162</v>
      </c>
      <c r="C17" s="150" t="s">
        <v>205</v>
      </c>
      <c r="D17" s="150"/>
      <c r="E17" s="150"/>
      <c r="F17" s="155" t="s">
        <v>201</v>
      </c>
      <c r="G17" s="155">
        <v>6</v>
      </c>
      <c r="H17" s="237">
        <f>+'[1]Sch 1'!G79</f>
        <v>17035132.269562826</v>
      </c>
      <c r="I17" s="238"/>
      <c r="K17" s="237">
        <f>+'[1]Sch 1 - Workings'!L73</f>
        <v>62300180</v>
      </c>
      <c r="L17" s="237">
        <v>513834</v>
      </c>
      <c r="M17" s="237">
        <v>173417</v>
      </c>
      <c r="N17" s="237">
        <v>-2000</v>
      </c>
      <c r="O17" s="239">
        <v>-41006132</v>
      </c>
      <c r="P17" s="237">
        <f>+'[1]Sch 1 - Workings'!Q73</f>
        <v>-17792317.979591835</v>
      </c>
      <c r="Q17" s="239">
        <v>-29203656</v>
      </c>
      <c r="R17" s="237">
        <f>+'[1]Sch 1 - Workings'!S73</f>
        <v>-12146946.792072775</v>
      </c>
      <c r="S17" s="239">
        <v>-16470905</v>
      </c>
      <c r="T17" s="237">
        <f>+'[1]Sch 1 - Workings'!U73</f>
        <v>-33607095.84684685</v>
      </c>
      <c r="U17" s="239">
        <v>-30433</v>
      </c>
      <c r="V17" s="237">
        <f>+'[1]Sch 1 - Workings'!W73</f>
        <v>-77965.5978705979</v>
      </c>
      <c r="W17" s="232">
        <f>+K17+P17+R17+T17+V17+L17+M17+N17</f>
        <v>-638895.2163820511</v>
      </c>
      <c r="X17" s="237">
        <f>+'[1]Sch 1 - Workings'!Y73</f>
        <v>3434284</v>
      </c>
      <c r="Y17" s="239">
        <f>+'[1]Sch 1 - Workings'!Z73</f>
        <v>5242759</v>
      </c>
      <c r="Z17" s="237">
        <f>+'[1]Sch 1 - Workings'!AA73</f>
        <v>8952215.559803264</v>
      </c>
      <c r="AA17" s="239">
        <v>0</v>
      </c>
      <c r="AB17" s="237">
        <v>0</v>
      </c>
      <c r="AC17" s="239">
        <v>3080826</v>
      </c>
      <c r="AD17" s="237">
        <f>+'[1]Sch 1 - Workings'!AC73</f>
        <v>1366635.2786431797</v>
      </c>
      <c r="AE17" s="232">
        <f t="shared" si="7"/>
        <v>13753134.838446444</v>
      </c>
      <c r="AF17" s="240">
        <f t="shared" si="1"/>
        <v>13114239.622064393</v>
      </c>
      <c r="AG17" s="239">
        <v>-764763</v>
      </c>
      <c r="AH17" s="241">
        <f>+'[1]Sch 1 - Workings'!AG73</f>
        <v>-369725.35250157723</v>
      </c>
      <c r="AI17" s="242">
        <f t="shared" si="2"/>
        <v>12744514.269562816</v>
      </c>
      <c r="AJ17" s="241">
        <f>5585557-1294939</f>
        <v>4290618</v>
      </c>
      <c r="AK17" s="242">
        <f t="shared" si="3"/>
        <v>17035132.269562818</v>
      </c>
    </row>
    <row r="18" spans="2:37" ht="12.75">
      <c r="B18" s="149"/>
      <c r="C18" s="150" t="s">
        <v>206</v>
      </c>
      <c r="D18" s="150"/>
      <c r="E18" s="150"/>
      <c r="F18" s="155" t="s">
        <v>201</v>
      </c>
      <c r="G18" s="155">
        <v>7</v>
      </c>
      <c r="H18" s="237" t="s">
        <v>162</v>
      </c>
      <c r="I18" s="238"/>
      <c r="K18" s="237">
        <v>0</v>
      </c>
      <c r="L18" s="237"/>
      <c r="M18" s="237"/>
      <c r="N18" s="237"/>
      <c r="O18" s="239">
        <v>0</v>
      </c>
      <c r="P18" s="237">
        <f>+O18/P$7</f>
        <v>0</v>
      </c>
      <c r="Q18" s="239">
        <v>0</v>
      </c>
      <c r="R18" s="237">
        <v>11642794</v>
      </c>
      <c r="S18" s="239">
        <v>0</v>
      </c>
      <c r="T18" s="237">
        <f>+S18/T$7</f>
        <v>0</v>
      </c>
      <c r="U18" s="239">
        <v>0</v>
      </c>
      <c r="V18" s="237">
        <f t="shared" si="5"/>
        <v>0</v>
      </c>
      <c r="W18" s="232">
        <f t="shared" si="4"/>
        <v>11642794</v>
      </c>
      <c r="X18" s="237">
        <v>0</v>
      </c>
      <c r="Y18" s="239">
        <v>0</v>
      </c>
      <c r="Z18" s="237">
        <f t="shared" si="6"/>
        <v>0</v>
      </c>
      <c r="AA18" s="239">
        <v>0</v>
      </c>
      <c r="AB18" s="237">
        <f t="shared" si="6"/>
        <v>0</v>
      </c>
      <c r="AC18" s="239">
        <v>0</v>
      </c>
      <c r="AD18" s="237">
        <v>1655002</v>
      </c>
      <c r="AE18" s="232">
        <f t="shared" si="7"/>
        <v>1655002</v>
      </c>
      <c r="AF18" s="240">
        <f t="shared" si="1"/>
        <v>13297796</v>
      </c>
      <c r="AG18" s="239">
        <v>0</v>
      </c>
      <c r="AH18" s="241">
        <f t="shared" si="0"/>
        <v>0</v>
      </c>
      <c r="AI18" s="242">
        <f t="shared" si="2"/>
        <v>13297796</v>
      </c>
      <c r="AJ18" s="241">
        <v>-13297796</v>
      </c>
      <c r="AK18" s="242">
        <f t="shared" si="3"/>
        <v>0</v>
      </c>
    </row>
    <row r="19" spans="2:37" ht="12.75">
      <c r="B19" s="149"/>
      <c r="C19" s="150" t="s">
        <v>162</v>
      </c>
      <c r="D19" s="150" t="s">
        <v>207</v>
      </c>
      <c r="E19" s="150"/>
      <c r="F19" s="155"/>
      <c r="G19" s="155">
        <v>8</v>
      </c>
      <c r="H19" s="237"/>
      <c r="I19" s="243"/>
      <c r="K19" s="237"/>
      <c r="L19" s="237"/>
      <c r="M19" s="237"/>
      <c r="N19" s="237"/>
      <c r="O19" s="239">
        <f>SUM(O13:O18)</f>
        <v>-41006132</v>
      </c>
      <c r="P19" s="237"/>
      <c r="Q19" s="239"/>
      <c r="R19" s="237">
        <f>+Q19/R$7</f>
        <v>0</v>
      </c>
      <c r="S19" s="239"/>
      <c r="T19" s="237">
        <f>+S19/T$7</f>
        <v>0</v>
      </c>
      <c r="U19" s="239"/>
      <c r="V19" s="237">
        <f t="shared" si="5"/>
        <v>0</v>
      </c>
      <c r="W19" s="232">
        <f>+K19+P19+R19+T19+V19</f>
        <v>0</v>
      </c>
      <c r="X19" s="237"/>
      <c r="Y19" s="239"/>
      <c r="Z19" s="237">
        <f t="shared" si="6"/>
        <v>0</v>
      </c>
      <c r="AA19" s="239"/>
      <c r="AB19" s="237">
        <f t="shared" si="6"/>
        <v>0</v>
      </c>
      <c r="AC19" s="239"/>
      <c r="AD19" s="237">
        <f>+AC19/AD$7</f>
        <v>0</v>
      </c>
      <c r="AE19" s="232">
        <f>+X19+Z19+AD19</f>
        <v>0</v>
      </c>
      <c r="AF19" s="240">
        <f t="shared" si="1"/>
        <v>0</v>
      </c>
      <c r="AG19" s="239"/>
      <c r="AH19" s="241">
        <f t="shared" si="0"/>
        <v>0</v>
      </c>
      <c r="AI19" s="242">
        <f t="shared" si="2"/>
        <v>0</v>
      </c>
      <c r="AJ19" s="241"/>
      <c r="AK19" s="242">
        <f t="shared" si="3"/>
        <v>0</v>
      </c>
    </row>
    <row r="20" spans="1:37" ht="13.5" thickBot="1">
      <c r="A20" s="244"/>
      <c r="B20" s="149"/>
      <c r="C20" s="150"/>
      <c r="D20" s="150"/>
      <c r="E20" s="150"/>
      <c r="F20" s="155"/>
      <c r="G20" s="155"/>
      <c r="H20" s="245"/>
      <c r="I20" s="246"/>
      <c r="K20" s="245"/>
      <c r="L20" s="245"/>
      <c r="M20" s="245"/>
      <c r="N20" s="245"/>
      <c r="O20" s="247"/>
      <c r="P20" s="245"/>
      <c r="Q20" s="247"/>
      <c r="R20" s="245"/>
      <c r="S20" s="247"/>
      <c r="T20" s="245"/>
      <c r="U20" s="247"/>
      <c r="V20" s="245"/>
      <c r="W20" s="232">
        <f>+K20+P20+R20+T20+V20</f>
        <v>0</v>
      </c>
      <c r="X20" s="245"/>
      <c r="Y20" s="247"/>
      <c r="Z20" s="245"/>
      <c r="AA20" s="247"/>
      <c r="AB20" s="245"/>
      <c r="AC20" s="247"/>
      <c r="AD20" s="245"/>
      <c r="AE20" s="248"/>
      <c r="AF20" s="240">
        <f t="shared" si="1"/>
        <v>0</v>
      </c>
      <c r="AG20" s="247"/>
      <c r="AH20" s="249"/>
      <c r="AI20" s="242">
        <f t="shared" si="2"/>
        <v>0</v>
      </c>
      <c r="AJ20" s="249"/>
      <c r="AK20" s="250"/>
    </row>
    <row r="21" spans="2:37" ht="17.25" customHeight="1" thickBot="1">
      <c r="B21" s="149" t="s">
        <v>208</v>
      </c>
      <c r="C21" s="150"/>
      <c r="D21" s="150"/>
      <c r="E21" s="150"/>
      <c r="F21" s="155"/>
      <c r="G21" s="155">
        <v>9</v>
      </c>
      <c r="H21" s="245">
        <f>SUM(H9:H19)</f>
        <v>20035132.269562826</v>
      </c>
      <c r="I21" s="251"/>
      <c r="K21" s="245">
        <f>SUM(K9:K19)</f>
        <v>192044040</v>
      </c>
      <c r="L21" s="245">
        <f>SUM(L9:L19)</f>
        <v>713834</v>
      </c>
      <c r="M21" s="245">
        <f>SUM(M9:M19)</f>
        <v>253417</v>
      </c>
      <c r="N21" s="245">
        <f>SUM(N9:N19)</f>
        <v>-1900</v>
      </c>
      <c r="O21" s="247">
        <f>+O9+O19</f>
        <v>8883268</v>
      </c>
      <c r="P21" s="245">
        <f aca="true" t="shared" si="8" ref="P21:AF21">SUM(P9:P19)</f>
        <v>4064825.0204081647</v>
      </c>
      <c r="Q21" s="247">
        <f t="shared" si="8"/>
        <v>-3274656</v>
      </c>
      <c r="R21" s="245">
        <f>SUM(R9:R19)</f>
        <v>-1365520.7920727748</v>
      </c>
      <c r="S21" s="247">
        <f t="shared" si="8"/>
        <v>284025</v>
      </c>
      <c r="T21" s="245">
        <f>SUM(T9:T19)</f>
        <v>851205.1531531513</v>
      </c>
      <c r="U21" s="247">
        <f t="shared" si="8"/>
        <v>-30431</v>
      </c>
      <c r="V21" s="245">
        <f>SUM(V9:V19)</f>
        <v>-91219.5978705979</v>
      </c>
      <c r="W21" s="248">
        <f t="shared" si="8"/>
        <v>196468680.78361794</v>
      </c>
      <c r="X21" s="245">
        <f t="shared" si="8"/>
        <v>4334284</v>
      </c>
      <c r="Y21" s="247">
        <f t="shared" si="8"/>
        <v>8242759</v>
      </c>
      <c r="Z21" s="245">
        <f>SUM(Z9:Z19)</f>
        <v>16784970.559803262</v>
      </c>
      <c r="AA21" s="247">
        <f>SUM(AA9:AA19)</f>
        <v>853000</v>
      </c>
      <c r="AB21" s="245">
        <f>SUM(AB9:AB19)</f>
        <v>383913</v>
      </c>
      <c r="AC21" s="247">
        <f t="shared" si="8"/>
        <v>14061765</v>
      </c>
      <c r="AD21" s="245">
        <f>SUM(AD9:AD19)</f>
        <v>6826099.27864318</v>
      </c>
      <c r="AE21" s="248">
        <f>SUM(AE9:AE19)</f>
        <v>28329266.838446446</v>
      </c>
      <c r="AF21" s="252">
        <f t="shared" si="8"/>
        <v>224797947.62206438</v>
      </c>
      <c r="AG21" s="247">
        <f>(AG9+AG17)</f>
        <v>235237</v>
      </c>
      <c r="AH21" s="249">
        <f>SUM(AH9:AH19)</f>
        <v>114192.54070230626</v>
      </c>
      <c r="AI21" s="253">
        <f>SUM(AI9:AI19)</f>
        <v>224912140.1627667</v>
      </c>
      <c r="AJ21" s="249">
        <f>SUM(AJ9:AJ19)</f>
        <v>-81586195</v>
      </c>
      <c r="AK21" s="250">
        <f>SUM(AK9:AK19)</f>
        <v>143325945.1627667</v>
      </c>
    </row>
    <row r="22" spans="2:37" ht="12.75">
      <c r="B22" s="149" t="s">
        <v>162</v>
      </c>
      <c r="C22" s="150"/>
      <c r="D22" s="150"/>
      <c r="E22" s="150"/>
      <c r="F22" s="155"/>
      <c r="G22" s="155"/>
      <c r="H22" s="237"/>
      <c r="I22" s="238"/>
      <c r="K22" s="237"/>
      <c r="L22" s="237"/>
      <c r="M22" s="237"/>
      <c r="N22" s="237"/>
      <c r="O22" s="239"/>
      <c r="P22" s="237"/>
      <c r="Q22" s="239"/>
      <c r="R22" s="237"/>
      <c r="S22" s="239"/>
      <c r="T22" s="237"/>
      <c r="U22" s="239"/>
      <c r="V22" s="237"/>
      <c r="W22" s="232">
        <f aca="true" t="shared" si="9" ref="W22:W27">+K22+P22+R22+T22+V22</f>
        <v>0</v>
      </c>
      <c r="X22" s="237"/>
      <c r="Y22" s="239"/>
      <c r="Z22" s="237"/>
      <c r="AA22" s="239"/>
      <c r="AB22" s="237"/>
      <c r="AC22" s="239"/>
      <c r="AD22" s="237"/>
      <c r="AE22" s="254"/>
      <c r="AF22" s="255"/>
      <c r="AG22" s="239"/>
      <c r="AH22" s="241"/>
      <c r="AI22" s="256"/>
      <c r="AJ22" s="241"/>
      <c r="AK22" s="250"/>
    </row>
    <row r="23" spans="2:37" ht="12.75">
      <c r="B23" s="149"/>
      <c r="C23" s="150"/>
      <c r="D23" s="150"/>
      <c r="E23" s="150"/>
      <c r="F23" s="155"/>
      <c r="G23" s="155"/>
      <c r="H23" s="237"/>
      <c r="I23" s="238"/>
      <c r="K23" s="237"/>
      <c r="L23" s="237"/>
      <c r="M23" s="237"/>
      <c r="N23" s="237"/>
      <c r="O23" s="239"/>
      <c r="P23" s="237"/>
      <c r="Q23" s="239"/>
      <c r="R23" s="237"/>
      <c r="S23" s="239"/>
      <c r="T23" s="237"/>
      <c r="U23" s="239"/>
      <c r="V23" s="237"/>
      <c r="W23" s="232">
        <f t="shared" si="9"/>
        <v>0</v>
      </c>
      <c r="X23" s="237"/>
      <c r="Y23" s="239"/>
      <c r="Z23" s="237"/>
      <c r="AA23" s="239"/>
      <c r="AB23" s="237"/>
      <c r="AC23" s="239"/>
      <c r="AD23" s="237"/>
      <c r="AE23" s="232">
        <f aca="true" t="shared" si="10" ref="AE23:AE32">+X23+Z23+AD23+AB23</f>
        <v>0</v>
      </c>
      <c r="AF23" s="240">
        <f aca="true" t="shared" si="11" ref="AF23:AF32">+AE23+W23</f>
        <v>0</v>
      </c>
      <c r="AG23" s="239"/>
      <c r="AH23" s="241"/>
      <c r="AI23" s="242">
        <f aca="true" t="shared" si="12" ref="AI23:AI32">+AF23+AH23</f>
        <v>0</v>
      </c>
      <c r="AJ23" s="241"/>
      <c r="AK23" s="250"/>
    </row>
    <row r="24" spans="2:37" ht="12.75">
      <c r="B24" s="149" t="s">
        <v>209</v>
      </c>
      <c r="C24" s="150"/>
      <c r="D24" s="150"/>
      <c r="E24" s="150"/>
      <c r="F24" s="155" t="s">
        <v>210</v>
      </c>
      <c r="G24" s="155">
        <v>10</v>
      </c>
      <c r="H24" s="237">
        <v>0</v>
      </c>
      <c r="I24" s="238"/>
      <c r="K24" s="237">
        <v>0</v>
      </c>
      <c r="L24" s="237"/>
      <c r="M24" s="237"/>
      <c r="N24" s="237"/>
      <c r="O24" s="239">
        <v>0</v>
      </c>
      <c r="P24" s="237">
        <f aca="true" t="shared" si="13" ref="P24:R32">+O24/P$7</f>
        <v>0</v>
      </c>
      <c r="Q24" s="239">
        <v>0</v>
      </c>
      <c r="R24" s="237">
        <f t="shared" si="13"/>
        <v>0</v>
      </c>
      <c r="S24" s="239">
        <v>0</v>
      </c>
      <c r="T24" s="237">
        <f aca="true" t="shared" si="14" ref="T24:T32">+S24/T$7</f>
        <v>0</v>
      </c>
      <c r="U24" s="239">
        <v>0</v>
      </c>
      <c r="V24" s="237">
        <f aca="true" t="shared" si="15" ref="V24:V32">+U24/V$7</f>
        <v>0</v>
      </c>
      <c r="W24" s="232">
        <f t="shared" si="9"/>
        <v>0</v>
      </c>
      <c r="X24" s="237">
        <v>0</v>
      </c>
      <c r="Y24" s="239">
        <v>0</v>
      </c>
      <c r="Z24" s="237">
        <f aca="true" t="shared" si="16" ref="Z24:AB32">+Y24/Z$7</f>
        <v>0</v>
      </c>
      <c r="AA24" s="239">
        <v>0</v>
      </c>
      <c r="AB24" s="237">
        <f t="shared" si="16"/>
        <v>0</v>
      </c>
      <c r="AC24" s="239">
        <v>0</v>
      </c>
      <c r="AD24" s="237">
        <f aca="true" t="shared" si="17" ref="AD24:AD32">+AC24/AD$7</f>
        <v>0</v>
      </c>
      <c r="AE24" s="232">
        <f t="shared" si="10"/>
        <v>0</v>
      </c>
      <c r="AF24" s="240">
        <f t="shared" si="11"/>
        <v>0</v>
      </c>
      <c r="AG24" s="239">
        <v>0</v>
      </c>
      <c r="AH24" s="241">
        <f aca="true" t="shared" si="18" ref="AH24:AH32">+AG24/AH$7</f>
        <v>0</v>
      </c>
      <c r="AI24" s="242">
        <f t="shared" si="12"/>
        <v>0</v>
      </c>
      <c r="AJ24" s="241">
        <v>46219</v>
      </c>
      <c r="AK24" s="242">
        <f aca="true" t="shared" si="19" ref="AK24:AK32">+AI24+AJ24</f>
        <v>46219</v>
      </c>
    </row>
    <row r="25" spans="2:37" ht="12.75">
      <c r="B25" s="149"/>
      <c r="C25" s="150"/>
      <c r="D25" s="150"/>
      <c r="E25" s="150"/>
      <c r="F25" s="155"/>
      <c r="G25" s="155"/>
      <c r="H25" s="237"/>
      <c r="I25" s="238"/>
      <c r="K25" s="237"/>
      <c r="L25" s="237"/>
      <c r="M25" s="237"/>
      <c r="N25" s="237"/>
      <c r="O25" s="239"/>
      <c r="P25" s="237">
        <f t="shared" si="13"/>
        <v>0</v>
      </c>
      <c r="Q25" s="239"/>
      <c r="R25" s="237">
        <f t="shared" si="13"/>
        <v>0</v>
      </c>
      <c r="S25" s="239"/>
      <c r="T25" s="237">
        <f t="shared" si="14"/>
        <v>0</v>
      </c>
      <c r="U25" s="239"/>
      <c r="V25" s="237">
        <f t="shared" si="15"/>
        <v>0</v>
      </c>
      <c r="W25" s="232">
        <f t="shared" si="9"/>
        <v>0</v>
      </c>
      <c r="X25" s="237"/>
      <c r="Y25" s="239"/>
      <c r="Z25" s="237">
        <f t="shared" si="16"/>
        <v>0</v>
      </c>
      <c r="AA25" s="239"/>
      <c r="AB25" s="237">
        <f t="shared" si="16"/>
        <v>0</v>
      </c>
      <c r="AC25" s="239"/>
      <c r="AD25" s="237">
        <f t="shared" si="17"/>
        <v>0</v>
      </c>
      <c r="AE25" s="232">
        <f t="shared" si="10"/>
        <v>0</v>
      </c>
      <c r="AF25" s="240">
        <f t="shared" si="11"/>
        <v>0</v>
      </c>
      <c r="AG25" s="239"/>
      <c r="AH25" s="241">
        <f t="shared" si="18"/>
        <v>0</v>
      </c>
      <c r="AI25" s="242">
        <f t="shared" si="12"/>
        <v>0</v>
      </c>
      <c r="AJ25" s="241"/>
      <c r="AK25" s="242">
        <f t="shared" si="19"/>
        <v>0</v>
      </c>
    </row>
    <row r="26" spans="2:37" ht="12.75">
      <c r="B26" s="149"/>
      <c r="C26" s="150"/>
      <c r="D26" s="150"/>
      <c r="E26" s="150"/>
      <c r="F26" s="155"/>
      <c r="G26" s="155">
        <v>11</v>
      </c>
      <c r="H26" s="237">
        <v>0</v>
      </c>
      <c r="I26" s="238"/>
      <c r="K26" s="237">
        <v>0</v>
      </c>
      <c r="L26" s="237"/>
      <c r="M26" s="237"/>
      <c r="N26" s="237"/>
      <c r="O26" s="239">
        <v>0</v>
      </c>
      <c r="P26" s="237">
        <f t="shared" si="13"/>
        <v>0</v>
      </c>
      <c r="Q26" s="239">
        <v>0</v>
      </c>
      <c r="R26" s="237">
        <f t="shared" si="13"/>
        <v>0</v>
      </c>
      <c r="S26" s="239">
        <v>0</v>
      </c>
      <c r="T26" s="237">
        <f t="shared" si="14"/>
        <v>0</v>
      </c>
      <c r="U26" s="239">
        <v>0</v>
      </c>
      <c r="V26" s="237">
        <f t="shared" si="15"/>
        <v>0</v>
      </c>
      <c r="W26" s="232">
        <f t="shared" si="9"/>
        <v>0</v>
      </c>
      <c r="X26" s="237">
        <v>0</v>
      </c>
      <c r="Y26" s="239">
        <v>0</v>
      </c>
      <c r="Z26" s="237">
        <f t="shared" si="16"/>
        <v>0</v>
      </c>
      <c r="AA26" s="239">
        <v>0</v>
      </c>
      <c r="AB26" s="237">
        <f t="shared" si="16"/>
        <v>0</v>
      </c>
      <c r="AC26" s="239">
        <v>0</v>
      </c>
      <c r="AD26" s="237">
        <f t="shared" si="17"/>
        <v>0</v>
      </c>
      <c r="AE26" s="232">
        <f t="shared" si="10"/>
        <v>0</v>
      </c>
      <c r="AF26" s="240">
        <f t="shared" si="11"/>
        <v>0</v>
      </c>
      <c r="AG26" s="239"/>
      <c r="AH26" s="241">
        <f t="shared" si="18"/>
        <v>0</v>
      </c>
      <c r="AI26" s="242">
        <f t="shared" si="12"/>
        <v>0</v>
      </c>
      <c r="AJ26" s="241">
        <v>0</v>
      </c>
      <c r="AK26" s="242">
        <f t="shared" si="19"/>
        <v>0</v>
      </c>
    </row>
    <row r="27" spans="2:37" ht="12.75">
      <c r="B27" s="149"/>
      <c r="C27" s="150"/>
      <c r="D27" s="150"/>
      <c r="E27" s="150"/>
      <c r="F27" s="155"/>
      <c r="G27" s="155"/>
      <c r="H27" s="237"/>
      <c r="I27" s="238"/>
      <c r="K27" s="237"/>
      <c r="L27" s="237"/>
      <c r="M27" s="237"/>
      <c r="N27" s="237"/>
      <c r="O27" s="239"/>
      <c r="P27" s="237">
        <f t="shared" si="13"/>
        <v>0</v>
      </c>
      <c r="Q27" s="239"/>
      <c r="R27" s="237">
        <f t="shared" si="13"/>
        <v>0</v>
      </c>
      <c r="S27" s="239"/>
      <c r="T27" s="237">
        <f t="shared" si="14"/>
        <v>0</v>
      </c>
      <c r="U27" s="239"/>
      <c r="V27" s="237">
        <f t="shared" si="15"/>
        <v>0</v>
      </c>
      <c r="W27" s="232">
        <f t="shared" si="9"/>
        <v>0</v>
      </c>
      <c r="X27" s="237"/>
      <c r="Y27" s="239"/>
      <c r="Z27" s="237">
        <f t="shared" si="16"/>
        <v>0</v>
      </c>
      <c r="AA27" s="239"/>
      <c r="AB27" s="237">
        <f t="shared" si="16"/>
        <v>0</v>
      </c>
      <c r="AC27" s="239"/>
      <c r="AD27" s="237">
        <f t="shared" si="17"/>
        <v>0</v>
      </c>
      <c r="AE27" s="232">
        <f t="shared" si="10"/>
        <v>0</v>
      </c>
      <c r="AF27" s="240">
        <f t="shared" si="11"/>
        <v>0</v>
      </c>
      <c r="AG27" s="239"/>
      <c r="AH27" s="241">
        <f t="shared" si="18"/>
        <v>0</v>
      </c>
      <c r="AI27" s="242">
        <f t="shared" si="12"/>
        <v>0</v>
      </c>
      <c r="AJ27" s="241"/>
      <c r="AK27" s="242">
        <f t="shared" si="19"/>
        <v>0</v>
      </c>
    </row>
    <row r="28" spans="2:37" ht="12.75">
      <c r="B28" s="149" t="s">
        <v>211</v>
      </c>
      <c r="C28" s="150"/>
      <c r="D28" s="150"/>
      <c r="E28" s="150"/>
      <c r="F28" s="155"/>
      <c r="G28" s="155"/>
      <c r="H28" s="237" t="s">
        <v>162</v>
      </c>
      <c r="I28" s="238"/>
      <c r="K28" s="237" t="s">
        <v>162</v>
      </c>
      <c r="L28" s="237"/>
      <c r="M28" s="237"/>
      <c r="N28" s="237"/>
      <c r="O28" s="239">
        <v>0</v>
      </c>
      <c r="P28" s="237">
        <f t="shared" si="13"/>
        <v>0</v>
      </c>
      <c r="Q28" s="239">
        <v>0</v>
      </c>
      <c r="R28" s="237">
        <f t="shared" si="13"/>
        <v>0</v>
      </c>
      <c r="S28" s="239">
        <v>0</v>
      </c>
      <c r="T28" s="237">
        <f t="shared" si="14"/>
        <v>0</v>
      </c>
      <c r="U28" s="239">
        <v>0</v>
      </c>
      <c r="V28" s="237">
        <f t="shared" si="15"/>
        <v>0</v>
      </c>
      <c r="W28" s="232"/>
      <c r="X28" s="237">
        <v>0</v>
      </c>
      <c r="Y28" s="239">
        <v>0</v>
      </c>
      <c r="Z28" s="237">
        <f t="shared" si="16"/>
        <v>0</v>
      </c>
      <c r="AA28" s="239">
        <v>0</v>
      </c>
      <c r="AB28" s="237">
        <f t="shared" si="16"/>
        <v>0</v>
      </c>
      <c r="AC28" s="239">
        <v>0</v>
      </c>
      <c r="AD28" s="237">
        <f t="shared" si="17"/>
        <v>0</v>
      </c>
      <c r="AE28" s="232">
        <f t="shared" si="10"/>
        <v>0</v>
      </c>
      <c r="AF28" s="240">
        <f t="shared" si="11"/>
        <v>0</v>
      </c>
      <c r="AG28" s="239">
        <v>0</v>
      </c>
      <c r="AH28" s="241">
        <f t="shared" si="18"/>
        <v>0</v>
      </c>
      <c r="AI28" s="242">
        <f t="shared" si="12"/>
        <v>0</v>
      </c>
      <c r="AJ28" s="241">
        <v>0</v>
      </c>
      <c r="AK28" s="242">
        <f t="shared" si="19"/>
        <v>0</v>
      </c>
    </row>
    <row r="29" spans="2:37" ht="12.75">
      <c r="B29" s="149"/>
      <c r="C29" s="150" t="s">
        <v>212</v>
      </c>
      <c r="D29" s="150"/>
      <c r="E29" s="150"/>
      <c r="F29" s="155" t="s">
        <v>213</v>
      </c>
      <c r="G29" s="155">
        <v>12</v>
      </c>
      <c r="H29" s="237">
        <v>126000</v>
      </c>
      <c r="I29" s="238"/>
      <c r="K29" s="237">
        <v>80000000</v>
      </c>
      <c r="L29" s="237"/>
      <c r="M29" s="237"/>
      <c r="N29" s="237"/>
      <c r="O29" s="239">
        <v>0</v>
      </c>
      <c r="P29" s="237">
        <f t="shared" si="13"/>
        <v>0</v>
      </c>
      <c r="Q29" s="239">
        <v>0</v>
      </c>
      <c r="R29" s="237">
        <f t="shared" si="13"/>
        <v>0</v>
      </c>
      <c r="S29" s="239"/>
      <c r="T29" s="237">
        <f t="shared" si="14"/>
        <v>0</v>
      </c>
      <c r="U29" s="239">
        <v>0</v>
      </c>
      <c r="V29" s="237">
        <f t="shared" si="15"/>
        <v>0</v>
      </c>
      <c r="W29" s="232">
        <f>+K29+P29+R29+T29+V29</f>
        <v>80000000</v>
      </c>
      <c r="X29" s="237">
        <v>0</v>
      </c>
      <c r="Y29" s="239">
        <v>0</v>
      </c>
      <c r="Z29" s="237">
        <f t="shared" si="16"/>
        <v>0</v>
      </c>
      <c r="AA29" s="239">
        <v>0</v>
      </c>
      <c r="AB29" s="237">
        <v>0</v>
      </c>
      <c r="AC29" s="239">
        <v>0</v>
      </c>
      <c r="AD29" s="237">
        <f t="shared" si="17"/>
        <v>0</v>
      </c>
      <c r="AE29" s="232">
        <f t="shared" si="10"/>
        <v>0</v>
      </c>
      <c r="AF29" s="240">
        <f t="shared" si="11"/>
        <v>80000000</v>
      </c>
      <c r="AG29" s="239">
        <v>0</v>
      </c>
      <c r="AH29" s="241">
        <f t="shared" si="18"/>
        <v>0</v>
      </c>
      <c r="AI29" s="242">
        <f t="shared" si="12"/>
        <v>80000000</v>
      </c>
      <c r="AJ29" s="241"/>
      <c r="AK29" s="242">
        <f t="shared" si="19"/>
        <v>80000000</v>
      </c>
    </row>
    <row r="30" spans="2:37" ht="12.75">
      <c r="B30" s="149"/>
      <c r="C30" s="150" t="s">
        <v>214</v>
      </c>
      <c r="D30" s="150"/>
      <c r="E30" s="150"/>
      <c r="F30" s="155" t="s">
        <v>215</v>
      </c>
      <c r="G30" s="155">
        <v>13</v>
      </c>
      <c r="H30" s="237"/>
      <c r="I30" s="238"/>
      <c r="K30" s="237">
        <f>113364+300000</f>
        <v>413364</v>
      </c>
      <c r="L30" s="237"/>
      <c r="M30" s="237"/>
      <c r="N30" s="237"/>
      <c r="O30" s="239"/>
      <c r="P30" s="237">
        <f t="shared" si="13"/>
        <v>0</v>
      </c>
      <c r="Q30" s="239"/>
      <c r="R30" s="237">
        <f t="shared" si="13"/>
        <v>0</v>
      </c>
      <c r="S30" s="239"/>
      <c r="T30" s="237">
        <f t="shared" si="14"/>
        <v>0</v>
      </c>
      <c r="U30" s="239"/>
      <c r="V30" s="237">
        <f t="shared" si="15"/>
        <v>0</v>
      </c>
      <c r="W30" s="232">
        <f>+K30+P30+R30+T30+V30</f>
        <v>413364</v>
      </c>
      <c r="X30" s="237">
        <v>0</v>
      </c>
      <c r="Y30" s="239">
        <v>36186</v>
      </c>
      <c r="Z30" s="237">
        <f t="shared" si="16"/>
        <v>83938.76130828114</v>
      </c>
      <c r="AA30" s="239">
        <v>0</v>
      </c>
      <c r="AB30" s="237">
        <f t="shared" si="16"/>
        <v>0</v>
      </c>
      <c r="AC30" s="239"/>
      <c r="AD30" s="237">
        <f t="shared" si="17"/>
        <v>0</v>
      </c>
      <c r="AE30" s="232">
        <f t="shared" si="10"/>
        <v>83938.76130828114</v>
      </c>
      <c r="AF30" s="240">
        <f t="shared" si="11"/>
        <v>497302.76130828116</v>
      </c>
      <c r="AG30" s="239">
        <v>0</v>
      </c>
      <c r="AH30" s="241">
        <f t="shared" si="18"/>
        <v>0</v>
      </c>
      <c r="AI30" s="242">
        <f t="shared" si="12"/>
        <v>497302.76130828116</v>
      </c>
      <c r="AJ30" s="241"/>
      <c r="AK30" s="242">
        <f t="shared" si="19"/>
        <v>497302.76130828116</v>
      </c>
    </row>
    <row r="31" spans="2:37" ht="12.75">
      <c r="B31" s="149" t="s">
        <v>162</v>
      </c>
      <c r="C31" s="150" t="s">
        <v>216</v>
      </c>
      <c r="D31" s="150"/>
      <c r="E31" s="150"/>
      <c r="F31" s="155" t="s">
        <v>217</v>
      </c>
      <c r="G31" s="155">
        <v>14</v>
      </c>
      <c r="H31" s="237" t="s">
        <v>162</v>
      </c>
      <c r="I31" s="238"/>
      <c r="K31" s="237">
        <v>77628</v>
      </c>
      <c r="L31" s="237"/>
      <c r="M31" s="237"/>
      <c r="N31" s="237"/>
      <c r="O31" s="239">
        <v>0</v>
      </c>
      <c r="P31" s="237">
        <f t="shared" si="13"/>
        <v>0</v>
      </c>
      <c r="Q31" s="239">
        <v>0</v>
      </c>
      <c r="R31" s="237">
        <f t="shared" si="13"/>
        <v>0</v>
      </c>
      <c r="S31" s="239">
        <v>0</v>
      </c>
      <c r="T31" s="237">
        <f t="shared" si="14"/>
        <v>0</v>
      </c>
      <c r="U31" s="239">
        <v>0</v>
      </c>
      <c r="V31" s="237">
        <f t="shared" si="15"/>
        <v>0</v>
      </c>
      <c r="W31" s="232">
        <f>+K31+P31+R31+T31+V31</f>
        <v>77628</v>
      </c>
      <c r="X31" s="237">
        <v>0</v>
      </c>
      <c r="Y31" s="239">
        <v>126000</v>
      </c>
      <c r="Z31" s="237">
        <f t="shared" si="16"/>
        <v>292275.5741127349</v>
      </c>
      <c r="AA31" s="239">
        <v>0</v>
      </c>
      <c r="AB31" s="237">
        <f t="shared" si="16"/>
        <v>0</v>
      </c>
      <c r="AC31" s="239">
        <v>0</v>
      </c>
      <c r="AD31" s="237">
        <f t="shared" si="17"/>
        <v>0</v>
      </c>
      <c r="AE31" s="232">
        <f t="shared" si="10"/>
        <v>292275.5741127349</v>
      </c>
      <c r="AF31" s="240">
        <f t="shared" si="11"/>
        <v>369903.5741127349</v>
      </c>
      <c r="AG31" s="239">
        <v>0</v>
      </c>
      <c r="AH31" s="241">
        <f t="shared" si="18"/>
        <v>0</v>
      </c>
      <c r="AI31" s="242">
        <f t="shared" si="12"/>
        <v>369903.5741127349</v>
      </c>
      <c r="AJ31" s="241">
        <v>0</v>
      </c>
      <c r="AK31" s="242">
        <f t="shared" si="19"/>
        <v>369903.5741127349</v>
      </c>
    </row>
    <row r="32" spans="2:37" ht="13.5" thickBot="1">
      <c r="B32" s="149"/>
      <c r="C32" s="150" t="s">
        <v>57</v>
      </c>
      <c r="D32" s="150"/>
      <c r="E32" s="150"/>
      <c r="F32" s="155" t="s">
        <v>218</v>
      </c>
      <c r="G32" s="155">
        <v>15</v>
      </c>
      <c r="H32" s="245" t="s">
        <v>162</v>
      </c>
      <c r="I32" s="246"/>
      <c r="K32" s="245">
        <v>3696590</v>
      </c>
      <c r="L32" s="245"/>
      <c r="M32" s="245"/>
      <c r="N32" s="245"/>
      <c r="O32" s="247">
        <v>0</v>
      </c>
      <c r="P32" s="237">
        <f t="shared" si="13"/>
        <v>0</v>
      </c>
      <c r="Q32" s="247">
        <v>0</v>
      </c>
      <c r="R32" s="237">
        <f t="shared" si="13"/>
        <v>0</v>
      </c>
      <c r="S32" s="247">
        <v>0</v>
      </c>
      <c r="T32" s="237">
        <f t="shared" si="14"/>
        <v>0</v>
      </c>
      <c r="U32" s="247">
        <v>0</v>
      </c>
      <c r="V32" s="237">
        <f t="shared" si="15"/>
        <v>0</v>
      </c>
      <c r="W32" s="232">
        <f>+K32+P32+R32+T32+V32</f>
        <v>3696590</v>
      </c>
      <c r="X32" s="245">
        <v>0</v>
      </c>
      <c r="Y32" s="247">
        <v>0</v>
      </c>
      <c r="Z32" s="237">
        <f t="shared" si="16"/>
        <v>0</v>
      </c>
      <c r="AA32" s="247">
        <v>0</v>
      </c>
      <c r="AB32" s="237">
        <f t="shared" si="16"/>
        <v>0</v>
      </c>
      <c r="AC32" s="247">
        <v>0</v>
      </c>
      <c r="AD32" s="237">
        <f t="shared" si="17"/>
        <v>0</v>
      </c>
      <c r="AE32" s="232">
        <f t="shared" si="10"/>
        <v>0</v>
      </c>
      <c r="AF32" s="257">
        <f t="shared" si="11"/>
        <v>3696590</v>
      </c>
      <c r="AG32" s="239">
        <v>0</v>
      </c>
      <c r="AH32" s="241">
        <f t="shared" si="18"/>
        <v>0</v>
      </c>
      <c r="AI32" s="242">
        <f t="shared" si="12"/>
        <v>3696590</v>
      </c>
      <c r="AJ32" s="241">
        <v>0</v>
      </c>
      <c r="AK32" s="258">
        <f t="shared" si="19"/>
        <v>3696590</v>
      </c>
    </row>
    <row r="33" spans="2:37" ht="19.5" customHeight="1" thickBot="1">
      <c r="B33" s="149"/>
      <c r="C33" s="150" t="s">
        <v>162</v>
      </c>
      <c r="D33" s="150" t="s">
        <v>219</v>
      </c>
      <c r="E33" s="150"/>
      <c r="F33" s="155"/>
      <c r="G33" s="155">
        <v>16</v>
      </c>
      <c r="H33" s="245">
        <f>SUM(H29:H32)</f>
        <v>126000</v>
      </c>
      <c r="I33" s="251"/>
      <c r="K33" s="245">
        <f>SUM(K29:K32)</f>
        <v>84187582</v>
      </c>
      <c r="L33" s="245">
        <f>SUM(L29:L32)</f>
        <v>0</v>
      </c>
      <c r="M33" s="245">
        <f>SUM(M29:M32)</f>
        <v>0</v>
      </c>
      <c r="N33" s="245">
        <f>SUM(N29:N32)</f>
        <v>0</v>
      </c>
      <c r="O33" s="247">
        <f aca="true" t="shared" si="20" ref="O33:AF33">SUM(O29:O32)</f>
        <v>0</v>
      </c>
      <c r="P33" s="245">
        <f t="shared" si="20"/>
        <v>0</v>
      </c>
      <c r="Q33" s="247">
        <f t="shared" si="20"/>
        <v>0</v>
      </c>
      <c r="R33" s="245">
        <f t="shared" si="20"/>
        <v>0</v>
      </c>
      <c r="S33" s="247">
        <f t="shared" si="20"/>
        <v>0</v>
      </c>
      <c r="T33" s="245">
        <f t="shared" si="20"/>
        <v>0</v>
      </c>
      <c r="U33" s="247">
        <f t="shared" si="20"/>
        <v>0</v>
      </c>
      <c r="V33" s="245">
        <f t="shared" si="20"/>
        <v>0</v>
      </c>
      <c r="W33" s="248">
        <f t="shared" si="20"/>
        <v>84187582</v>
      </c>
      <c r="X33" s="245">
        <f t="shared" si="20"/>
        <v>0</v>
      </c>
      <c r="Y33" s="247">
        <f t="shared" si="20"/>
        <v>162186</v>
      </c>
      <c r="Z33" s="245">
        <f t="shared" si="20"/>
        <v>376214.33542101603</v>
      </c>
      <c r="AA33" s="247">
        <f>SUM(AA29:AA32)</f>
        <v>0</v>
      </c>
      <c r="AB33" s="245">
        <f>SUM(AB29:AB32)</f>
        <v>0</v>
      </c>
      <c r="AC33" s="247">
        <f t="shared" si="20"/>
        <v>0</v>
      </c>
      <c r="AD33" s="245">
        <f t="shared" si="20"/>
        <v>0</v>
      </c>
      <c r="AE33" s="248">
        <f t="shared" si="20"/>
        <v>376214.33542101603</v>
      </c>
      <c r="AF33" s="259">
        <f t="shared" si="20"/>
        <v>84563796.33542101</v>
      </c>
      <c r="AG33" s="260">
        <f>SUM(AG29:AG32)</f>
        <v>0</v>
      </c>
      <c r="AH33" s="261">
        <f>SUM(AH29:AH32)</f>
        <v>0</v>
      </c>
      <c r="AI33" s="262">
        <f>SUM(AI29:AI32)</f>
        <v>84563796.33542101</v>
      </c>
      <c r="AJ33" s="261">
        <f>SUM(AJ29:AJ32)</f>
        <v>0</v>
      </c>
      <c r="AK33" s="262">
        <f>SUM(AK29:AK32)</f>
        <v>84563796.33542101</v>
      </c>
    </row>
    <row r="34" spans="2:37" ht="12.75">
      <c r="B34" s="149"/>
      <c r="C34" s="150"/>
      <c r="D34" s="150"/>
      <c r="E34" s="150"/>
      <c r="F34" s="155"/>
      <c r="G34" s="155"/>
      <c r="H34" s="237" t="s">
        <v>162</v>
      </c>
      <c r="I34" s="238"/>
      <c r="K34" s="237" t="s">
        <v>162</v>
      </c>
      <c r="L34" s="237"/>
      <c r="M34" s="237"/>
      <c r="N34" s="237"/>
      <c r="O34" s="239" t="s">
        <v>162</v>
      </c>
      <c r="P34" s="237" t="s">
        <v>162</v>
      </c>
      <c r="Q34" s="239" t="s">
        <v>162</v>
      </c>
      <c r="R34" s="237" t="s">
        <v>162</v>
      </c>
      <c r="S34" s="239" t="s">
        <v>162</v>
      </c>
      <c r="T34" s="237" t="s">
        <v>162</v>
      </c>
      <c r="U34" s="239" t="s">
        <v>162</v>
      </c>
      <c r="V34" s="237" t="s">
        <v>162</v>
      </c>
      <c r="W34" s="254" t="s">
        <v>162</v>
      </c>
      <c r="X34" s="237" t="s">
        <v>162</v>
      </c>
      <c r="Y34" s="239" t="s">
        <v>162</v>
      </c>
      <c r="Z34" s="237" t="s">
        <v>162</v>
      </c>
      <c r="AA34" s="239" t="s">
        <v>162</v>
      </c>
      <c r="AB34" s="237" t="s">
        <v>162</v>
      </c>
      <c r="AC34" s="239" t="s">
        <v>162</v>
      </c>
      <c r="AD34" s="237" t="s">
        <v>162</v>
      </c>
      <c r="AE34" s="254" t="s">
        <v>162</v>
      </c>
      <c r="AF34" s="263" t="s">
        <v>162</v>
      </c>
      <c r="AG34" s="264" t="s">
        <v>162</v>
      </c>
      <c r="AH34" s="265" t="s">
        <v>162</v>
      </c>
      <c r="AI34" s="266" t="s">
        <v>162</v>
      </c>
      <c r="AJ34" s="265" t="s">
        <v>162</v>
      </c>
      <c r="AK34" s="267" t="s">
        <v>162</v>
      </c>
    </row>
    <row r="35" spans="2:37" ht="12.75">
      <c r="B35" s="149"/>
      <c r="C35" s="150"/>
      <c r="D35" s="150"/>
      <c r="E35" s="150"/>
      <c r="F35" s="155"/>
      <c r="G35" s="155"/>
      <c r="H35" s="237" t="s">
        <v>162</v>
      </c>
      <c r="I35" s="238"/>
      <c r="K35" s="237" t="s">
        <v>162</v>
      </c>
      <c r="L35" s="237"/>
      <c r="M35" s="237"/>
      <c r="N35" s="237"/>
      <c r="O35" s="239" t="s">
        <v>162</v>
      </c>
      <c r="P35" s="237" t="s">
        <v>162</v>
      </c>
      <c r="Q35" s="239" t="s">
        <v>162</v>
      </c>
      <c r="R35" s="237" t="s">
        <v>162</v>
      </c>
      <c r="S35" s="239" t="s">
        <v>162</v>
      </c>
      <c r="T35" s="237" t="s">
        <v>162</v>
      </c>
      <c r="U35" s="239" t="s">
        <v>162</v>
      </c>
      <c r="V35" s="237" t="s">
        <v>162</v>
      </c>
      <c r="W35" s="254" t="s">
        <v>162</v>
      </c>
      <c r="X35" s="237" t="s">
        <v>162</v>
      </c>
      <c r="Y35" s="239" t="s">
        <v>162</v>
      </c>
      <c r="Z35" s="237" t="s">
        <v>162</v>
      </c>
      <c r="AA35" s="239" t="s">
        <v>162</v>
      </c>
      <c r="AB35" s="237" t="s">
        <v>162</v>
      </c>
      <c r="AC35" s="239" t="s">
        <v>162</v>
      </c>
      <c r="AD35" s="237" t="s">
        <v>162</v>
      </c>
      <c r="AE35" s="254" t="s">
        <v>162</v>
      </c>
      <c r="AF35" s="255" t="s">
        <v>162</v>
      </c>
      <c r="AG35" s="239" t="s">
        <v>162</v>
      </c>
      <c r="AH35" s="241" t="s">
        <v>162</v>
      </c>
      <c r="AI35" s="256" t="s">
        <v>162</v>
      </c>
      <c r="AJ35" s="241" t="s">
        <v>162</v>
      </c>
      <c r="AK35" s="250" t="s">
        <v>162</v>
      </c>
    </row>
    <row r="36" spans="2:37" ht="12.75">
      <c r="B36" s="149" t="s">
        <v>220</v>
      </c>
      <c r="C36" s="150"/>
      <c r="D36" s="150"/>
      <c r="E36" s="150"/>
      <c r="F36" s="155"/>
      <c r="G36" s="155"/>
      <c r="H36" s="237"/>
      <c r="I36" s="238"/>
      <c r="K36" s="237"/>
      <c r="L36" s="237"/>
      <c r="M36" s="237"/>
      <c r="N36" s="237"/>
      <c r="O36" s="239"/>
      <c r="P36" s="237"/>
      <c r="Q36" s="239"/>
      <c r="R36" s="237"/>
      <c r="S36" s="239"/>
      <c r="T36" s="237"/>
      <c r="U36" s="239"/>
      <c r="V36" s="237"/>
      <c r="W36" s="254"/>
      <c r="X36" s="237"/>
      <c r="Y36" s="239"/>
      <c r="Z36" s="237"/>
      <c r="AA36" s="239"/>
      <c r="AB36" s="237"/>
      <c r="AC36" s="239"/>
      <c r="AD36" s="237"/>
      <c r="AE36" s="254"/>
      <c r="AF36" s="255"/>
      <c r="AG36" s="239"/>
      <c r="AH36" s="241"/>
      <c r="AI36" s="256"/>
      <c r="AJ36" s="241"/>
      <c r="AK36" s="250"/>
    </row>
    <row r="37" spans="2:37" ht="12.75">
      <c r="B37" s="149" t="s">
        <v>162</v>
      </c>
      <c r="C37" s="150" t="s">
        <v>221</v>
      </c>
      <c r="D37" s="150"/>
      <c r="E37" s="150"/>
      <c r="F37" s="155"/>
      <c r="G37" s="155">
        <v>17</v>
      </c>
      <c r="H37" s="237">
        <v>2525745</v>
      </c>
      <c r="I37" s="238"/>
      <c r="K37" s="237">
        <v>55451104</v>
      </c>
      <c r="L37" s="237"/>
      <c r="M37" s="237"/>
      <c r="N37" s="237"/>
      <c r="O37" s="239">
        <v>21131174</v>
      </c>
      <c r="P37" s="237">
        <f aca="true" t="shared" si="21" ref="P37:R45">+O37/P$7</f>
        <v>9669247.734968428</v>
      </c>
      <c r="Q37" s="239">
        <v>3530495</v>
      </c>
      <c r="R37" s="237">
        <f t="shared" si="21"/>
        <v>1472205.0790208916</v>
      </c>
      <c r="S37" s="239">
        <v>427949</v>
      </c>
      <c r="T37" s="237">
        <f aca="true" t="shared" si="22" ref="T37:T45">+S37/T$7</f>
        <v>1282820.7434052757</v>
      </c>
      <c r="U37" s="239">
        <v>16163</v>
      </c>
      <c r="V37" s="237">
        <f aca="true" t="shared" si="23" ref="V37:V45">+U37/V$7</f>
        <v>48450.23980815348</v>
      </c>
      <c r="W37" s="232">
        <f>+K37+P37+R37+T37+V37</f>
        <v>67923827.79720275</v>
      </c>
      <c r="X37" s="237">
        <v>5259919</v>
      </c>
      <c r="Y37" s="239">
        <v>2525745</v>
      </c>
      <c r="Z37" s="237">
        <f aca="true" t="shared" si="24" ref="Z37:AB45">+Y37/Z$7</f>
        <v>5858837.85664579</v>
      </c>
      <c r="AA37" s="239">
        <v>0</v>
      </c>
      <c r="AB37" s="237">
        <f t="shared" si="24"/>
        <v>0</v>
      </c>
      <c r="AC37" s="239">
        <f>1560443+1429219</f>
        <v>2989662</v>
      </c>
      <c r="AD37" s="237">
        <f aca="true" t="shared" si="25" ref="AD37:AD45">+AC37/AD$7</f>
        <v>1451292.2330097088</v>
      </c>
      <c r="AE37" s="232">
        <f aca="true" t="shared" si="26" ref="AE37:AE44">+X37+Z37+AD37+AB37</f>
        <v>12570049.089655498</v>
      </c>
      <c r="AF37" s="240">
        <f aca="true" t="shared" si="27" ref="AF37:AF45">+AE37+W37</f>
        <v>80493876.88685825</v>
      </c>
      <c r="AG37" s="239">
        <v>267339</v>
      </c>
      <c r="AH37" s="241">
        <f aca="true" t="shared" si="28" ref="AH37:AH45">+AG37/AH$7</f>
        <v>129776.213592233</v>
      </c>
      <c r="AI37" s="242">
        <f aca="true" t="shared" si="29" ref="AI37:AI45">+AF37+AH37</f>
        <v>80623653.10045049</v>
      </c>
      <c r="AJ37" s="241"/>
      <c r="AK37" s="242">
        <f aca="true" t="shared" si="30" ref="AK37:AK45">+AI37+AJ37</f>
        <v>80623653.10045049</v>
      </c>
    </row>
    <row r="38" spans="2:37" ht="12.75">
      <c r="B38" s="149"/>
      <c r="C38" s="150" t="s">
        <v>222</v>
      </c>
      <c r="D38" s="150"/>
      <c r="E38" s="150"/>
      <c r="F38" s="155"/>
      <c r="G38" s="155">
        <v>18</v>
      </c>
      <c r="H38" s="237">
        <f>119845+36186</f>
        <v>156031</v>
      </c>
      <c r="I38" s="238"/>
      <c r="K38" s="237">
        <f>4484000+954414+979236+778008</f>
        <v>7195658</v>
      </c>
      <c r="L38" s="237"/>
      <c r="M38" s="237"/>
      <c r="N38" s="237"/>
      <c r="O38" s="239">
        <v>9999675</v>
      </c>
      <c r="P38" s="237">
        <f t="shared" si="21"/>
        <v>4575672.64573991</v>
      </c>
      <c r="Q38" s="239">
        <v>3971516</v>
      </c>
      <c r="R38" s="237">
        <f t="shared" si="21"/>
        <v>1656109.4199574664</v>
      </c>
      <c r="S38" s="239">
        <f>27845+101976+80213+31847</f>
        <v>241881</v>
      </c>
      <c r="T38" s="237">
        <f t="shared" si="22"/>
        <v>725062.9496402878</v>
      </c>
      <c r="U38" s="239">
        <v>937177</v>
      </c>
      <c r="V38" s="237">
        <f t="shared" si="23"/>
        <v>2809283.573141487</v>
      </c>
      <c r="W38" s="232">
        <f>+K38+P38+R38+T38+V38</f>
        <v>16961786.58847915</v>
      </c>
      <c r="X38" s="237">
        <f>418244+1531</f>
        <v>419775</v>
      </c>
      <c r="Y38" s="239">
        <f>119845</f>
        <v>119845</v>
      </c>
      <c r="Z38" s="237">
        <f t="shared" si="24"/>
        <v>277998.1442820691</v>
      </c>
      <c r="AA38" s="239">
        <v>0</v>
      </c>
      <c r="AB38" s="237">
        <f t="shared" si="24"/>
        <v>0</v>
      </c>
      <c r="AC38" s="239">
        <v>576777</v>
      </c>
      <c r="AD38" s="237">
        <f t="shared" si="25"/>
        <v>279988.8349514563</v>
      </c>
      <c r="AE38" s="232">
        <f t="shared" si="26"/>
        <v>977761.9792335253</v>
      </c>
      <c r="AF38" s="240">
        <f t="shared" si="27"/>
        <v>17939548.567712676</v>
      </c>
      <c r="AG38" s="239">
        <f>955221+1124231</f>
        <v>2079452</v>
      </c>
      <c r="AH38" s="241">
        <f t="shared" si="28"/>
        <v>1009442.7184466019</v>
      </c>
      <c r="AI38" s="242">
        <f t="shared" si="29"/>
        <v>18948991.286159277</v>
      </c>
      <c r="AJ38" s="241">
        <v>1263156</v>
      </c>
      <c r="AK38" s="242">
        <f t="shared" si="30"/>
        <v>20212147.286159277</v>
      </c>
    </row>
    <row r="39" spans="2:37" ht="12.75">
      <c r="B39" s="149" t="s">
        <v>162</v>
      </c>
      <c r="C39" s="150" t="s">
        <v>212</v>
      </c>
      <c r="D39" s="150"/>
      <c r="E39" s="150"/>
      <c r="F39" s="155" t="s">
        <v>223</v>
      </c>
      <c r="G39" s="155">
        <v>19</v>
      </c>
      <c r="H39" s="237">
        <v>321237</v>
      </c>
      <c r="I39" s="238"/>
      <c r="K39" s="237">
        <v>32934774</v>
      </c>
      <c r="L39" s="237"/>
      <c r="M39" s="237"/>
      <c r="N39" s="237"/>
      <c r="O39" s="239">
        <v>28935725</v>
      </c>
      <c r="P39" s="237">
        <f t="shared" si="21"/>
        <v>13240470.852017937</v>
      </c>
      <c r="Q39" s="239">
        <v>7811991</v>
      </c>
      <c r="R39" s="237">
        <f t="shared" si="21"/>
        <v>3257575.1636712397</v>
      </c>
      <c r="S39" s="239">
        <v>3869563</v>
      </c>
      <c r="T39" s="237">
        <f t="shared" si="22"/>
        <v>11599409.472422061</v>
      </c>
      <c r="U39" s="239">
        <v>0</v>
      </c>
      <c r="V39" s="237">
        <f t="shared" si="23"/>
        <v>0</v>
      </c>
      <c r="W39" s="232">
        <f>+K39+P39+R39+T39+V39</f>
        <v>61032229.48811124</v>
      </c>
      <c r="X39" s="237">
        <v>1318000</v>
      </c>
      <c r="Y39" s="239">
        <v>321237</v>
      </c>
      <c r="Z39" s="237">
        <f t="shared" si="24"/>
        <v>745156.5762004176</v>
      </c>
      <c r="AA39" s="239">
        <v>0</v>
      </c>
      <c r="AB39" s="237">
        <f t="shared" si="24"/>
        <v>0</v>
      </c>
      <c r="AC39" s="239">
        <v>1000000</v>
      </c>
      <c r="AD39" s="237">
        <f t="shared" si="25"/>
        <v>485436.8932038835</v>
      </c>
      <c r="AE39" s="232">
        <f t="shared" si="26"/>
        <v>2548593.469404301</v>
      </c>
      <c r="AF39" s="240">
        <f t="shared" si="27"/>
        <v>63580822.957515545</v>
      </c>
      <c r="AG39" s="239">
        <v>0</v>
      </c>
      <c r="AH39" s="241">
        <f t="shared" si="28"/>
        <v>0</v>
      </c>
      <c r="AI39" s="242">
        <f t="shared" si="29"/>
        <v>63580822.957515545</v>
      </c>
      <c r="AJ39" s="241"/>
      <c r="AK39" s="242">
        <f t="shared" si="30"/>
        <v>63580822.957515545</v>
      </c>
    </row>
    <row r="40" spans="2:37" ht="12.75">
      <c r="B40" s="149"/>
      <c r="C40" s="150" t="s">
        <v>224</v>
      </c>
      <c r="D40" s="150"/>
      <c r="E40" s="150"/>
      <c r="F40" s="158" t="s">
        <v>225</v>
      </c>
      <c r="G40" s="155">
        <v>20</v>
      </c>
      <c r="H40" s="237" t="s">
        <v>162</v>
      </c>
      <c r="I40" s="238"/>
      <c r="J40" s="174"/>
      <c r="K40" s="237">
        <v>0</v>
      </c>
      <c r="L40" s="237"/>
      <c r="M40" s="237"/>
      <c r="N40" s="237"/>
      <c r="O40" s="239">
        <v>0</v>
      </c>
      <c r="P40" s="237">
        <f t="shared" si="21"/>
        <v>0</v>
      </c>
      <c r="Q40" s="239">
        <v>0</v>
      </c>
      <c r="R40" s="237">
        <f t="shared" si="21"/>
        <v>0</v>
      </c>
      <c r="S40" s="239">
        <v>0</v>
      </c>
      <c r="T40" s="237">
        <f t="shared" si="22"/>
        <v>0</v>
      </c>
      <c r="U40" s="239">
        <v>0</v>
      </c>
      <c r="V40" s="237">
        <f t="shared" si="23"/>
        <v>0</v>
      </c>
      <c r="W40" s="232">
        <f>+K40+P40+R40+T40+V40</f>
        <v>0</v>
      </c>
      <c r="X40" s="237">
        <v>0</v>
      </c>
      <c r="Y40" s="239">
        <v>0</v>
      </c>
      <c r="Z40" s="237">
        <f t="shared" si="24"/>
        <v>0</v>
      </c>
      <c r="AA40" s="239">
        <v>0</v>
      </c>
      <c r="AB40" s="237">
        <f t="shared" si="24"/>
        <v>0</v>
      </c>
      <c r="AC40" s="239">
        <v>0</v>
      </c>
      <c r="AD40" s="237">
        <f t="shared" si="25"/>
        <v>0</v>
      </c>
      <c r="AE40" s="232">
        <f t="shared" si="26"/>
        <v>0</v>
      </c>
      <c r="AF40" s="240">
        <f t="shared" si="27"/>
        <v>0</v>
      </c>
      <c r="AG40" s="239">
        <v>0</v>
      </c>
      <c r="AH40" s="241">
        <f t="shared" si="28"/>
        <v>0</v>
      </c>
      <c r="AI40" s="242">
        <f t="shared" si="29"/>
        <v>0</v>
      </c>
      <c r="AJ40" s="241">
        <v>0</v>
      </c>
      <c r="AK40" s="242">
        <f t="shared" si="30"/>
        <v>0</v>
      </c>
    </row>
    <row r="41" spans="2:37" ht="12.75">
      <c r="B41" s="149" t="s">
        <v>162</v>
      </c>
      <c r="C41" s="157" t="s">
        <v>226</v>
      </c>
      <c r="D41" s="150"/>
      <c r="E41" s="150"/>
      <c r="F41" s="158" t="s">
        <v>225</v>
      </c>
      <c r="G41" s="155">
        <v>21</v>
      </c>
      <c r="H41" s="237" t="s">
        <v>162</v>
      </c>
      <c r="I41" s="243"/>
      <c r="J41" s="268"/>
      <c r="K41" s="237">
        <v>972880</v>
      </c>
      <c r="L41" s="237"/>
      <c r="M41" s="237"/>
      <c r="N41" s="237">
        <v>1900</v>
      </c>
      <c r="O41" s="239">
        <v>102477785</v>
      </c>
      <c r="P41" s="237">
        <f t="shared" si="21"/>
        <v>46892003.75217351</v>
      </c>
      <c r="Q41" s="239">
        <v>11626764</v>
      </c>
      <c r="R41" s="237">
        <f t="shared" si="21"/>
        <v>4848323.255910929</v>
      </c>
      <c r="S41" s="239">
        <v>2502060</v>
      </c>
      <c r="T41" s="237">
        <f t="shared" si="22"/>
        <v>7500179.856115107</v>
      </c>
      <c r="U41" s="239">
        <v>1718454</v>
      </c>
      <c r="V41" s="237">
        <f t="shared" si="23"/>
        <v>5151241.007194244</v>
      </c>
      <c r="W41" s="232">
        <f>+K41+P41+R41+T41+V41+N41</f>
        <v>65366527.8713938</v>
      </c>
      <c r="X41" s="237">
        <v>2462796</v>
      </c>
      <c r="Y41" s="239">
        <f>241565-1578</f>
        <v>239987</v>
      </c>
      <c r="Z41" s="237">
        <f t="shared" si="24"/>
        <v>556685.2238459755</v>
      </c>
      <c r="AA41" s="239">
        <v>229982</v>
      </c>
      <c r="AB41" s="237">
        <v>111641</v>
      </c>
      <c r="AC41" s="239">
        <v>298255</v>
      </c>
      <c r="AD41" s="237">
        <f t="shared" si="25"/>
        <v>144783.98058252427</v>
      </c>
      <c r="AE41" s="232">
        <f t="shared" si="26"/>
        <v>3275906.2044284996</v>
      </c>
      <c r="AF41" s="240">
        <f t="shared" si="27"/>
        <v>68642434.0758223</v>
      </c>
      <c r="AG41" s="239">
        <v>0</v>
      </c>
      <c r="AH41" s="241">
        <f t="shared" si="28"/>
        <v>0</v>
      </c>
      <c r="AI41" s="242">
        <f t="shared" si="29"/>
        <v>68642434.0758223</v>
      </c>
      <c r="AJ41" s="241">
        <v>-68642434</v>
      </c>
      <c r="AK41" s="242">
        <f t="shared" si="30"/>
        <v>0.07582229375839233</v>
      </c>
    </row>
    <row r="42" spans="2:37" ht="12.75">
      <c r="B42" s="149"/>
      <c r="C42" s="150" t="s">
        <v>52</v>
      </c>
      <c r="D42" s="150"/>
      <c r="E42" s="150"/>
      <c r="F42" s="158" t="s">
        <v>225</v>
      </c>
      <c r="G42" s="155">
        <v>22</v>
      </c>
      <c r="H42" s="237"/>
      <c r="I42" s="238"/>
      <c r="K42" s="237">
        <f>940105+686546-777000</f>
        <v>849651</v>
      </c>
      <c r="L42" s="237"/>
      <c r="M42" s="237"/>
      <c r="N42" s="237"/>
      <c r="O42" s="239"/>
      <c r="P42" s="237">
        <f t="shared" si="21"/>
        <v>0</v>
      </c>
      <c r="Q42" s="239">
        <v>167124</v>
      </c>
      <c r="R42" s="237">
        <f t="shared" si="21"/>
        <v>69690.17138568034</v>
      </c>
      <c r="S42" s="239"/>
      <c r="T42" s="237">
        <f t="shared" si="22"/>
        <v>0</v>
      </c>
      <c r="U42" s="239"/>
      <c r="V42" s="237">
        <f t="shared" si="23"/>
        <v>0</v>
      </c>
      <c r="W42" s="232">
        <f>+K42+P42+R42+T42+V42+L42+M42+N42</f>
        <v>919341.1713856803</v>
      </c>
      <c r="X42" s="237"/>
      <c r="Y42" s="239">
        <v>1578</v>
      </c>
      <c r="Z42" s="237">
        <f t="shared" si="24"/>
        <v>3660.403618649965</v>
      </c>
      <c r="AA42" s="239">
        <v>0</v>
      </c>
      <c r="AB42" s="237">
        <f t="shared" si="24"/>
        <v>0</v>
      </c>
      <c r="AC42" s="239"/>
      <c r="AD42" s="237">
        <f t="shared" si="25"/>
        <v>0</v>
      </c>
      <c r="AE42" s="232">
        <f t="shared" si="26"/>
        <v>3660.403618649965</v>
      </c>
      <c r="AF42" s="240">
        <f t="shared" si="27"/>
        <v>923001.5750043303</v>
      </c>
      <c r="AG42" s="239">
        <v>1257080</v>
      </c>
      <c r="AH42" s="241">
        <f t="shared" si="28"/>
        <v>610233.0097087378</v>
      </c>
      <c r="AI42" s="242">
        <f t="shared" si="29"/>
        <v>1533234.584713068</v>
      </c>
      <c r="AJ42" s="241">
        <v>0</v>
      </c>
      <c r="AK42" s="242">
        <f t="shared" si="30"/>
        <v>1533234.584713068</v>
      </c>
    </row>
    <row r="43" spans="2:37" ht="12.75">
      <c r="B43" s="149" t="s">
        <v>162</v>
      </c>
      <c r="C43" s="150" t="s">
        <v>227</v>
      </c>
      <c r="D43" s="150"/>
      <c r="E43" s="150"/>
      <c r="F43" s="155" t="s">
        <v>228</v>
      </c>
      <c r="G43" s="155">
        <v>23</v>
      </c>
      <c r="H43" s="237"/>
      <c r="I43" s="238"/>
      <c r="K43" s="237">
        <v>777000</v>
      </c>
      <c r="L43" s="237"/>
      <c r="M43" s="237"/>
      <c r="N43" s="237"/>
      <c r="O43" s="239">
        <v>0</v>
      </c>
      <c r="P43" s="237">
        <f t="shared" si="21"/>
        <v>0</v>
      </c>
      <c r="Q43" s="239"/>
      <c r="R43" s="237">
        <f t="shared" si="21"/>
        <v>0</v>
      </c>
      <c r="S43" s="239"/>
      <c r="T43" s="237">
        <f t="shared" si="22"/>
        <v>0</v>
      </c>
      <c r="U43" s="239"/>
      <c r="V43" s="237">
        <f t="shared" si="23"/>
        <v>0</v>
      </c>
      <c r="W43" s="232">
        <f>+K43+P43+R43+T43+V43</f>
        <v>777000</v>
      </c>
      <c r="X43" s="237"/>
      <c r="Y43" s="239">
        <v>0</v>
      </c>
      <c r="Z43" s="237">
        <f t="shared" si="24"/>
        <v>0</v>
      </c>
      <c r="AA43" s="239">
        <v>0</v>
      </c>
      <c r="AB43" s="237">
        <f t="shared" si="24"/>
        <v>0</v>
      </c>
      <c r="AC43" s="239"/>
      <c r="AD43" s="237">
        <f t="shared" si="25"/>
        <v>0</v>
      </c>
      <c r="AE43" s="232">
        <f t="shared" si="26"/>
        <v>0</v>
      </c>
      <c r="AF43" s="240">
        <f t="shared" si="27"/>
        <v>777000</v>
      </c>
      <c r="AG43" s="239">
        <v>3214600</v>
      </c>
      <c r="AH43" s="241">
        <f t="shared" si="28"/>
        <v>1560485.4368932038</v>
      </c>
      <c r="AI43" s="242">
        <f t="shared" si="29"/>
        <v>2337485.4368932038</v>
      </c>
      <c r="AJ43" s="241"/>
      <c r="AK43" s="242">
        <f t="shared" si="30"/>
        <v>2337485.4368932038</v>
      </c>
    </row>
    <row r="44" spans="2:37" ht="12.75">
      <c r="B44" s="149"/>
      <c r="C44" s="150" t="s">
        <v>34</v>
      </c>
      <c r="D44" s="150"/>
      <c r="E44" s="150"/>
      <c r="F44" s="155" t="s">
        <v>229</v>
      </c>
      <c r="G44" s="155">
        <v>24</v>
      </c>
      <c r="H44" s="237">
        <f>29386+44376</f>
        <v>73762</v>
      </c>
      <c r="I44" s="238"/>
      <c r="K44" s="237">
        <v>-1963000</v>
      </c>
      <c r="L44" s="237"/>
      <c r="M44" s="237"/>
      <c r="N44" s="237"/>
      <c r="O44" s="269">
        <v>-2442779</v>
      </c>
      <c r="P44" s="237">
        <f t="shared" si="21"/>
        <v>-1117772.032579848</v>
      </c>
      <c r="Q44" s="239">
        <v>0</v>
      </c>
      <c r="R44" s="237">
        <f t="shared" si="21"/>
        <v>0</v>
      </c>
      <c r="S44" s="239">
        <v>-1095644</v>
      </c>
      <c r="T44" s="237">
        <f t="shared" si="22"/>
        <v>-3284304.556354916</v>
      </c>
      <c r="U44" s="239">
        <v>49000</v>
      </c>
      <c r="V44" s="237">
        <f t="shared" si="23"/>
        <v>146882.49400479617</v>
      </c>
      <c r="W44" s="232">
        <f>+K44+P44+R44+T44+V44</f>
        <v>-6218194.094929968</v>
      </c>
      <c r="X44" s="237">
        <f>-72612-143363</f>
        <v>-215975</v>
      </c>
      <c r="Y44" s="239">
        <f>29386+44376</f>
        <v>73762</v>
      </c>
      <c r="Z44" s="237">
        <f t="shared" si="24"/>
        <v>171101.83252145676</v>
      </c>
      <c r="AA44" s="239">
        <v>0</v>
      </c>
      <c r="AB44" s="237">
        <f t="shared" si="24"/>
        <v>0</v>
      </c>
      <c r="AC44" s="239">
        <v>-24104</v>
      </c>
      <c r="AD44" s="237">
        <f t="shared" si="25"/>
        <v>-11700.970873786408</v>
      </c>
      <c r="AE44" s="232">
        <f t="shared" si="26"/>
        <v>-56574.138352329646</v>
      </c>
      <c r="AF44" s="240">
        <f t="shared" si="27"/>
        <v>-6274768.233282298</v>
      </c>
      <c r="AG44" s="239">
        <v>0</v>
      </c>
      <c r="AH44" s="241">
        <f t="shared" si="28"/>
        <v>0</v>
      </c>
      <c r="AI44" s="242">
        <f t="shared" si="29"/>
        <v>-6274768.233282298</v>
      </c>
      <c r="AJ44" s="241">
        <v>-851009</v>
      </c>
      <c r="AK44" s="242">
        <f t="shared" si="30"/>
        <v>-7125777.233282298</v>
      </c>
    </row>
    <row r="45" spans="2:37" ht="12.75">
      <c r="B45" s="149" t="s">
        <v>162</v>
      </c>
      <c r="C45" s="150" t="s">
        <v>230</v>
      </c>
      <c r="D45" s="150"/>
      <c r="E45" s="150"/>
      <c r="F45" s="155"/>
      <c r="G45" s="155">
        <v>25</v>
      </c>
      <c r="H45" s="237" t="s">
        <v>162</v>
      </c>
      <c r="I45" s="238"/>
      <c r="K45" s="237">
        <v>0</v>
      </c>
      <c r="L45" s="237"/>
      <c r="M45" s="237"/>
      <c r="N45" s="237"/>
      <c r="O45" s="239">
        <v>0</v>
      </c>
      <c r="P45" s="237">
        <v>0</v>
      </c>
      <c r="Q45" s="239">
        <v>0</v>
      </c>
      <c r="R45" s="237">
        <f t="shared" si="21"/>
        <v>0</v>
      </c>
      <c r="S45" s="239">
        <v>0</v>
      </c>
      <c r="T45" s="237">
        <f t="shared" si="22"/>
        <v>0</v>
      </c>
      <c r="U45" s="239">
        <v>0</v>
      </c>
      <c r="V45" s="237">
        <f t="shared" si="23"/>
        <v>0</v>
      </c>
      <c r="W45" s="232">
        <f>+K45+P45+R45+T45+V45</f>
        <v>0</v>
      </c>
      <c r="X45" s="237">
        <v>0</v>
      </c>
      <c r="Y45" s="239">
        <v>0</v>
      </c>
      <c r="Z45" s="237">
        <f t="shared" si="24"/>
        <v>0</v>
      </c>
      <c r="AA45" s="239">
        <v>0</v>
      </c>
      <c r="AB45" s="237">
        <f t="shared" si="24"/>
        <v>0</v>
      </c>
      <c r="AC45" s="239">
        <v>0</v>
      </c>
      <c r="AD45" s="237">
        <f t="shared" si="25"/>
        <v>0</v>
      </c>
      <c r="AE45" s="232">
        <f>+X45+Z45+AD45</f>
        <v>0</v>
      </c>
      <c r="AF45" s="240">
        <f t="shared" si="27"/>
        <v>0</v>
      </c>
      <c r="AG45" s="239">
        <v>0</v>
      </c>
      <c r="AH45" s="241">
        <f t="shared" si="28"/>
        <v>0</v>
      </c>
      <c r="AI45" s="242">
        <f t="shared" si="29"/>
        <v>0</v>
      </c>
      <c r="AJ45" s="241">
        <v>0</v>
      </c>
      <c r="AK45" s="242">
        <f t="shared" si="30"/>
        <v>0</v>
      </c>
    </row>
    <row r="46" spans="2:37" ht="13.5" thickBot="1">
      <c r="B46" s="149" t="s">
        <v>231</v>
      </c>
      <c r="C46" s="150" t="s">
        <v>162</v>
      </c>
      <c r="D46" s="150"/>
      <c r="E46" s="150"/>
      <c r="F46" s="155"/>
      <c r="G46" s="155"/>
      <c r="H46" s="245" t="s">
        <v>162</v>
      </c>
      <c r="I46" s="246"/>
      <c r="K46" s="245" t="s">
        <v>162</v>
      </c>
      <c r="L46" s="245"/>
      <c r="M46" s="245"/>
      <c r="N46" s="245"/>
      <c r="O46" s="247" t="s">
        <v>162</v>
      </c>
      <c r="P46" s="245" t="s">
        <v>162</v>
      </c>
      <c r="Q46" s="247" t="s">
        <v>162</v>
      </c>
      <c r="R46" s="245" t="s">
        <v>162</v>
      </c>
      <c r="S46" s="247" t="s">
        <v>162</v>
      </c>
      <c r="T46" s="245" t="s">
        <v>162</v>
      </c>
      <c r="U46" s="247" t="s">
        <v>162</v>
      </c>
      <c r="V46" s="245" t="s">
        <v>162</v>
      </c>
      <c r="W46" s="248" t="s">
        <v>162</v>
      </c>
      <c r="X46" s="245" t="s">
        <v>162</v>
      </c>
      <c r="Y46" s="247" t="s">
        <v>162</v>
      </c>
      <c r="Z46" s="245" t="s">
        <v>162</v>
      </c>
      <c r="AA46" s="247" t="s">
        <v>162</v>
      </c>
      <c r="AB46" s="245" t="s">
        <v>162</v>
      </c>
      <c r="AC46" s="247" t="s">
        <v>162</v>
      </c>
      <c r="AD46" s="245" t="s">
        <v>162</v>
      </c>
      <c r="AE46" s="248" t="s">
        <v>162</v>
      </c>
      <c r="AF46" s="252" t="s">
        <v>162</v>
      </c>
      <c r="AG46" s="247" t="s">
        <v>162</v>
      </c>
      <c r="AH46" s="249" t="s">
        <v>162</v>
      </c>
      <c r="AI46" s="270" t="s">
        <v>162</v>
      </c>
      <c r="AJ46" s="249" t="s">
        <v>162</v>
      </c>
      <c r="AK46" s="250" t="s">
        <v>162</v>
      </c>
    </row>
    <row r="47" spans="2:37" ht="17.25" customHeight="1" thickBot="1">
      <c r="B47" s="149" t="s">
        <v>232</v>
      </c>
      <c r="C47" s="150" t="s">
        <v>162</v>
      </c>
      <c r="D47" s="150" t="s">
        <v>233</v>
      </c>
      <c r="E47" s="150"/>
      <c r="F47" s="155"/>
      <c r="G47" s="155">
        <v>26</v>
      </c>
      <c r="H47" s="245">
        <f>SUM(H37:H45)</f>
        <v>3076775</v>
      </c>
      <c r="I47" s="251"/>
      <c r="K47" s="245">
        <f aca="true" t="shared" si="31" ref="K47:AF47">SUM(K37:K45)</f>
        <v>96218067</v>
      </c>
      <c r="L47" s="245">
        <f t="shared" si="31"/>
        <v>0</v>
      </c>
      <c r="M47" s="245">
        <f t="shared" si="31"/>
        <v>0</v>
      </c>
      <c r="N47" s="245">
        <f t="shared" si="31"/>
        <v>1900</v>
      </c>
      <c r="O47" s="247">
        <f t="shared" si="31"/>
        <v>160101580</v>
      </c>
      <c r="P47" s="245">
        <f t="shared" si="31"/>
        <v>73259622.95231993</v>
      </c>
      <c r="Q47" s="247">
        <f t="shared" si="31"/>
        <v>27107890</v>
      </c>
      <c r="R47" s="245">
        <f>SUM(R37:R45)</f>
        <v>11303903.089946209</v>
      </c>
      <c r="S47" s="247">
        <f t="shared" si="31"/>
        <v>5945809</v>
      </c>
      <c r="T47" s="245">
        <f>SUM(T37:T45)</f>
        <v>17823168.465227816</v>
      </c>
      <c r="U47" s="247">
        <f t="shared" si="31"/>
        <v>2720794</v>
      </c>
      <c r="V47" s="245">
        <f>SUM(V37:V45)</f>
        <v>8155857.31414868</v>
      </c>
      <c r="W47" s="248">
        <f t="shared" si="31"/>
        <v>206762518.82164264</v>
      </c>
      <c r="X47" s="245">
        <f t="shared" si="31"/>
        <v>9244515</v>
      </c>
      <c r="Y47" s="247">
        <f t="shared" si="31"/>
        <v>3282154</v>
      </c>
      <c r="Z47" s="245">
        <f>SUM(Z37:Z45)</f>
        <v>7613440.037114358</v>
      </c>
      <c r="AA47" s="247">
        <f>SUM(AA37:AA45)</f>
        <v>229982</v>
      </c>
      <c r="AB47" s="245">
        <f>SUM(AB37:AB45)</f>
        <v>111641</v>
      </c>
      <c r="AC47" s="247">
        <f t="shared" si="31"/>
        <v>4840590</v>
      </c>
      <c r="AD47" s="245">
        <f>SUM(AD37:AD45)</f>
        <v>2349800.970873786</v>
      </c>
      <c r="AE47" s="248">
        <f>SUM(AE37:AE45)</f>
        <v>19319397.007988144</v>
      </c>
      <c r="AF47" s="252">
        <f t="shared" si="31"/>
        <v>226081915.82963082</v>
      </c>
      <c r="AG47" s="247">
        <f>SUM(AG37:AG45)</f>
        <v>6818471</v>
      </c>
      <c r="AH47" s="249">
        <f>SUM(AH37:AH45)</f>
        <v>3309937.3786407765</v>
      </c>
      <c r="AI47" s="270">
        <f>SUM(AI37:AI45)</f>
        <v>229391853.20827156</v>
      </c>
      <c r="AJ47" s="249">
        <f>SUM(AJ37:AJ45)</f>
        <v>-68230287</v>
      </c>
      <c r="AK47" s="250">
        <f>SUM(AK37:AK45)</f>
        <v>161161566.20827156</v>
      </c>
    </row>
    <row r="48" spans="2:37" ht="13.5" thickBot="1">
      <c r="B48" s="149" t="s">
        <v>162</v>
      </c>
      <c r="C48" s="150" t="s">
        <v>162</v>
      </c>
      <c r="D48" s="150"/>
      <c r="E48" s="150"/>
      <c r="F48" s="155"/>
      <c r="G48" s="155" t="s">
        <v>162</v>
      </c>
      <c r="H48" s="245" t="s">
        <v>162</v>
      </c>
      <c r="I48" s="246"/>
      <c r="K48" s="245" t="s">
        <v>162</v>
      </c>
      <c r="L48" s="245"/>
      <c r="M48" s="245"/>
      <c r="N48" s="245"/>
      <c r="O48" s="247" t="s">
        <v>162</v>
      </c>
      <c r="P48" s="245" t="s">
        <v>162</v>
      </c>
      <c r="Q48" s="247" t="s">
        <v>162</v>
      </c>
      <c r="R48" s="245" t="s">
        <v>162</v>
      </c>
      <c r="S48" s="247" t="s">
        <v>162</v>
      </c>
      <c r="T48" s="245" t="s">
        <v>162</v>
      </c>
      <c r="U48" s="247" t="s">
        <v>162</v>
      </c>
      <c r="V48" s="245" t="s">
        <v>162</v>
      </c>
      <c r="W48" s="248" t="s">
        <v>162</v>
      </c>
      <c r="X48" s="245" t="s">
        <v>162</v>
      </c>
      <c r="Y48" s="247" t="s">
        <v>162</v>
      </c>
      <c r="Z48" s="245" t="s">
        <v>162</v>
      </c>
      <c r="AA48" s="247" t="s">
        <v>162</v>
      </c>
      <c r="AB48" s="245" t="s">
        <v>162</v>
      </c>
      <c r="AC48" s="247" t="s">
        <v>162</v>
      </c>
      <c r="AD48" s="245" t="s">
        <v>162</v>
      </c>
      <c r="AE48" s="248" t="s">
        <v>162</v>
      </c>
      <c r="AF48" s="252" t="s">
        <v>162</v>
      </c>
      <c r="AG48" s="247" t="s">
        <v>162</v>
      </c>
      <c r="AH48" s="249" t="s">
        <v>162</v>
      </c>
      <c r="AI48" s="270" t="s">
        <v>162</v>
      </c>
      <c r="AJ48" s="249" t="s">
        <v>162</v>
      </c>
      <c r="AK48" s="250" t="s">
        <v>162</v>
      </c>
    </row>
    <row r="49" spans="2:37" ht="19.5" customHeight="1" thickBot="1">
      <c r="B49" s="156"/>
      <c r="C49" s="157" t="s">
        <v>234</v>
      </c>
      <c r="D49" s="157"/>
      <c r="E49" s="157"/>
      <c r="F49" s="154"/>
      <c r="G49" s="154">
        <v>27</v>
      </c>
      <c r="H49" s="245">
        <f>+H21+H24+H26+H33+H47</f>
        <v>23237907.269562826</v>
      </c>
      <c r="I49" s="251"/>
      <c r="K49" s="245">
        <f>+K21+K24+K26+K33+K47</f>
        <v>372449689</v>
      </c>
      <c r="L49" s="245">
        <f aca="true" t="shared" si="32" ref="L49:AF49">+L21+L24+L26+L33+L47</f>
        <v>713834</v>
      </c>
      <c r="M49" s="245">
        <f t="shared" si="32"/>
        <v>253417</v>
      </c>
      <c r="N49" s="245">
        <f t="shared" si="32"/>
        <v>0</v>
      </c>
      <c r="O49" s="247">
        <f t="shared" si="32"/>
        <v>168984848</v>
      </c>
      <c r="P49" s="245">
        <f t="shared" si="32"/>
        <v>77324447.9727281</v>
      </c>
      <c r="Q49" s="247">
        <f t="shared" si="32"/>
        <v>23833234</v>
      </c>
      <c r="R49" s="245">
        <f>+R21+R24+R26+R33+R47</f>
        <v>9938382.297873434</v>
      </c>
      <c r="S49" s="247">
        <f t="shared" si="32"/>
        <v>6229834</v>
      </c>
      <c r="T49" s="245">
        <f>+T21+T24+T26+T33+T47</f>
        <v>18674373.618380968</v>
      </c>
      <c r="U49" s="247">
        <f t="shared" si="32"/>
        <v>2690363</v>
      </c>
      <c r="V49" s="245">
        <f>+V21+V24+V26+V33+V47</f>
        <v>8064637.716278083</v>
      </c>
      <c r="W49" s="248">
        <f t="shared" si="32"/>
        <v>487418781.6052606</v>
      </c>
      <c r="X49" s="245">
        <f t="shared" si="32"/>
        <v>13578799</v>
      </c>
      <c r="Y49" s="247">
        <f t="shared" si="32"/>
        <v>11687099</v>
      </c>
      <c r="Z49" s="271">
        <f t="shared" si="32"/>
        <v>24774624.932338633</v>
      </c>
      <c r="AA49" s="247">
        <f>+AA21+AA24+AA26+AA33+AA47</f>
        <v>1082982</v>
      </c>
      <c r="AB49" s="245">
        <f>+AB21+AB24+AB26+AB33+AB47</f>
        <v>495554</v>
      </c>
      <c r="AC49" s="247">
        <f t="shared" si="32"/>
        <v>18902355</v>
      </c>
      <c r="AD49" s="245">
        <f>+AD21+AD24+AD26+AD33+AD47</f>
        <v>9175900.249516966</v>
      </c>
      <c r="AE49" s="248">
        <f>+AE21+AE24+AE26+AE33+AE47</f>
        <v>48024878.181855604</v>
      </c>
      <c r="AF49" s="252">
        <f t="shared" si="32"/>
        <v>535443659.78711617</v>
      </c>
      <c r="AG49" s="247">
        <f>SUM(AG21+AG47)</f>
        <v>7053708</v>
      </c>
      <c r="AH49" s="249">
        <f>+AH21+AH24+AH26+AH33+AH47</f>
        <v>3424129.9193430827</v>
      </c>
      <c r="AI49" s="270">
        <f>+AI21+AI24+AI26+AI33+AI47</f>
        <v>538867789.7064593</v>
      </c>
      <c r="AJ49" s="249">
        <f>+AJ21+AJ24+AJ26+AJ33+AJ47</f>
        <v>-149770263</v>
      </c>
      <c r="AK49" s="250">
        <f>+AK21+AK24+AK26+AK33+AK47</f>
        <v>389097526.7064593</v>
      </c>
    </row>
    <row r="50" spans="8:37" ht="12.75">
      <c r="H50" s="196" t="s">
        <v>162</v>
      </c>
      <c r="K50" s="196" t="s">
        <v>162</v>
      </c>
      <c r="L50" s="196"/>
      <c r="M50" s="196"/>
      <c r="N50" s="196"/>
      <c r="O50" s="272" t="s">
        <v>162</v>
      </c>
      <c r="P50" s="196" t="s">
        <v>162</v>
      </c>
      <c r="Q50" s="272" t="s">
        <v>162</v>
      </c>
      <c r="R50" s="196" t="s">
        <v>162</v>
      </c>
      <c r="S50" s="272" t="s">
        <v>162</v>
      </c>
      <c r="T50" s="196" t="s">
        <v>162</v>
      </c>
      <c r="U50" s="272" t="s">
        <v>162</v>
      </c>
      <c r="V50" s="196" t="s">
        <v>162</v>
      </c>
      <c r="W50" s="273" t="s">
        <v>162</v>
      </c>
      <c r="X50" s="196" t="s">
        <v>162</v>
      </c>
      <c r="Y50" s="272" t="s">
        <v>162</v>
      </c>
      <c r="Z50" s="196" t="s">
        <v>162</v>
      </c>
      <c r="AA50" s="272" t="s">
        <v>162</v>
      </c>
      <c r="AB50" s="196" t="s">
        <v>162</v>
      </c>
      <c r="AC50" s="272" t="s">
        <v>162</v>
      </c>
      <c r="AD50" s="196" t="s">
        <v>162</v>
      </c>
      <c r="AE50" s="273" t="s">
        <v>162</v>
      </c>
      <c r="AF50" s="274" t="s">
        <v>162</v>
      </c>
      <c r="AG50" s="272" t="s">
        <v>162</v>
      </c>
      <c r="AH50" s="275" t="s">
        <v>162</v>
      </c>
      <c r="AI50" s="276" t="s">
        <v>162</v>
      </c>
      <c r="AJ50" s="275" t="s">
        <v>162</v>
      </c>
      <c r="AK50" s="277" t="s">
        <v>162</v>
      </c>
    </row>
    <row r="51" spans="6:37" s="278" customFormat="1" ht="12.75">
      <c r="F51" s="279"/>
      <c r="G51" s="279"/>
      <c r="H51" s="279"/>
      <c r="I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00"/>
      <c r="AF51" s="201"/>
      <c r="AG51" s="199"/>
      <c r="AH51" s="202"/>
      <c r="AI51" s="203"/>
      <c r="AJ51" s="202"/>
      <c r="AK51" s="203"/>
    </row>
    <row r="52" spans="2:37" ht="12.75">
      <c r="B52" s="142" t="str">
        <f>+B2</f>
        <v>GROUP/COMPANY : TAMCO CORPORATE HOLDINGS BERHAD</v>
      </c>
      <c r="E52" s="143"/>
      <c r="H52" s="207"/>
      <c r="I52" s="147" t="s">
        <v>235</v>
      </c>
      <c r="K52" s="207"/>
      <c r="L52" s="207"/>
      <c r="M52" s="207"/>
      <c r="N52" s="207"/>
      <c r="O52" s="209"/>
      <c r="P52" s="207"/>
      <c r="Q52" s="209"/>
      <c r="R52" s="207"/>
      <c r="S52" s="209"/>
      <c r="T52" s="207"/>
      <c r="U52" s="209"/>
      <c r="V52" s="207"/>
      <c r="W52" s="210"/>
      <c r="X52" s="207"/>
      <c r="Y52" s="209"/>
      <c r="Z52" s="207"/>
      <c r="AA52" s="209"/>
      <c r="AB52" s="207"/>
      <c r="AC52" s="209"/>
      <c r="AD52" s="207"/>
      <c r="AE52" s="210"/>
      <c r="AF52" s="211"/>
      <c r="AG52" s="209"/>
      <c r="AH52" s="212"/>
      <c r="AI52" s="213"/>
      <c r="AJ52" s="212"/>
      <c r="AK52" s="213"/>
    </row>
    <row r="53" spans="2:37" ht="12.75">
      <c r="B53" s="147" t="s">
        <v>236</v>
      </c>
      <c r="E53" s="143"/>
      <c r="G53" s="142"/>
      <c r="H53" s="207"/>
      <c r="K53" s="207">
        <f>+K39-'[1]sch9&lt;3&gt;'!J31-'[1]sch9&lt;3&gt;'!J32-'[1]sch9&lt;3&gt;'!J33</f>
        <v>0</v>
      </c>
      <c r="L53" s="207"/>
      <c r="M53" s="207"/>
      <c r="N53" s="207"/>
      <c r="O53" s="209"/>
      <c r="P53" s="207">
        <f>+P39-'[1]sch9&lt;3&gt;'!J22-'[1]sch9&lt;3&gt;'!J23</f>
        <v>0</v>
      </c>
      <c r="Q53" s="209"/>
      <c r="R53" s="207">
        <f>+R39-'[1]sch9&lt;3&gt;'!J24</f>
        <v>0</v>
      </c>
      <c r="S53" s="209"/>
      <c r="T53" s="207">
        <f>+T39-'[1]sch9&lt;3&gt;'!J13-'[1]sch9&lt;3&gt;'!J34</f>
        <v>0</v>
      </c>
      <c r="U53" s="209"/>
      <c r="V53" s="207"/>
      <c r="W53" s="210"/>
      <c r="X53" s="207">
        <f>+X39-'[1]sch9&lt;3&gt;'!J35</f>
        <v>0</v>
      </c>
      <c r="Y53" s="209"/>
      <c r="Z53" s="207">
        <f>+Z39/'[1]sch9&lt;3&gt;'!J14</f>
        <v>1</v>
      </c>
      <c r="AA53" s="209"/>
      <c r="AB53" s="207"/>
      <c r="AC53" s="209"/>
      <c r="AD53" s="207">
        <f>+AD39-'[1]sch9&lt;3&gt;'!G25</f>
        <v>0</v>
      </c>
      <c r="AE53" s="210"/>
      <c r="AF53" s="211"/>
      <c r="AG53" s="209"/>
      <c r="AH53" s="212"/>
      <c r="AI53" s="213"/>
      <c r="AJ53" s="212"/>
      <c r="AK53" s="213"/>
    </row>
    <row r="54" spans="2:33" ht="12.75">
      <c r="B54" s="142" t="str">
        <f>+B4</f>
        <v>BALANCE SHEET AS AT : 31 November 2004</v>
      </c>
      <c r="E54" s="143"/>
      <c r="G54" s="141"/>
      <c r="AG54" s="199"/>
    </row>
    <row r="55" spans="5:33" ht="12.75">
      <c r="E55" s="143"/>
      <c r="G55" s="141"/>
      <c r="AG55" s="199"/>
    </row>
    <row r="56" spans="2:37" ht="12.75">
      <c r="B56" s="280"/>
      <c r="C56" s="281"/>
      <c r="D56" s="281"/>
      <c r="E56" s="281"/>
      <c r="F56" s="222" t="s">
        <v>116</v>
      </c>
      <c r="G56" s="282" t="s">
        <v>162</v>
      </c>
      <c r="H56" s="283" t="str">
        <f>+H6</f>
        <v>30.11.2004</v>
      </c>
      <c r="I56" s="217" t="s">
        <v>237</v>
      </c>
      <c r="J56" s="284"/>
      <c r="K56" s="283" t="str">
        <f>+K6</f>
        <v>RM</v>
      </c>
      <c r="L56" s="283"/>
      <c r="M56" s="283"/>
      <c r="N56" s="283"/>
      <c r="O56" s="283" t="str">
        <f aca="true" t="shared" si="33" ref="O56:AK57">+O6</f>
        <v>RMB</v>
      </c>
      <c r="P56" s="283" t="str">
        <f t="shared" si="33"/>
        <v>RM</v>
      </c>
      <c r="Q56" s="283" t="str">
        <f t="shared" si="33"/>
        <v>IDR'000</v>
      </c>
      <c r="R56" s="283" t="str">
        <f t="shared" si="33"/>
        <v>RM</v>
      </c>
      <c r="S56" s="283" t="str">
        <f t="shared" si="33"/>
        <v>AUD</v>
      </c>
      <c r="T56" s="283" t="str">
        <f t="shared" si="33"/>
        <v>RM</v>
      </c>
      <c r="U56" s="283" t="str">
        <f t="shared" si="33"/>
        <v>AUD</v>
      </c>
      <c r="V56" s="283" t="str">
        <f t="shared" si="33"/>
        <v>RM</v>
      </c>
      <c r="W56" s="283" t="str">
        <f t="shared" si="33"/>
        <v>RM</v>
      </c>
      <c r="X56" s="283" t="str">
        <f t="shared" si="33"/>
        <v>RM</v>
      </c>
      <c r="Y56" s="283" t="str">
        <f t="shared" si="33"/>
        <v>SGD</v>
      </c>
      <c r="Z56" s="283" t="str">
        <f t="shared" si="33"/>
        <v>RM</v>
      </c>
      <c r="AA56" s="283" t="str">
        <f>+AA6</f>
        <v>RMB</v>
      </c>
      <c r="AB56" s="283" t="str">
        <f>+AB6</f>
        <v>RM</v>
      </c>
      <c r="AC56" s="283" t="str">
        <f t="shared" si="33"/>
        <v>HKD</v>
      </c>
      <c r="AD56" s="283" t="str">
        <f t="shared" si="33"/>
        <v>RM</v>
      </c>
      <c r="AE56" s="283" t="str">
        <f>+AE6</f>
        <v>RM</v>
      </c>
      <c r="AF56" s="283" t="str">
        <f t="shared" si="33"/>
        <v>RM</v>
      </c>
      <c r="AG56" s="283" t="str">
        <f t="shared" si="33"/>
        <v>HKD</v>
      </c>
      <c r="AH56" s="283" t="str">
        <f t="shared" si="33"/>
        <v>RM</v>
      </c>
      <c r="AI56" s="283" t="str">
        <f t="shared" si="33"/>
        <v>RM</v>
      </c>
      <c r="AJ56" s="283" t="str">
        <f t="shared" si="33"/>
        <v>RM</v>
      </c>
      <c r="AK56" s="283" t="str">
        <f t="shared" si="33"/>
        <v>RM</v>
      </c>
    </row>
    <row r="57" spans="1:37" s="292" customFormat="1" ht="12.75">
      <c r="A57" s="285"/>
      <c r="B57" s="286"/>
      <c r="C57" s="287"/>
      <c r="D57" s="287"/>
      <c r="E57" s="287"/>
      <c r="F57" s="288" t="s">
        <v>122</v>
      </c>
      <c r="G57" s="289" t="s">
        <v>123</v>
      </c>
      <c r="H57" s="290" t="str">
        <f>+H7</f>
        <v>$</v>
      </c>
      <c r="I57" s="290" t="s">
        <v>197</v>
      </c>
      <c r="J57" s="291"/>
      <c r="K57" s="290">
        <f>+K7</f>
        <v>1</v>
      </c>
      <c r="L57" s="290"/>
      <c r="M57" s="290"/>
      <c r="N57" s="290"/>
      <c r="O57" s="290">
        <f t="shared" si="33"/>
        <v>2.1854</v>
      </c>
      <c r="P57" s="290">
        <f t="shared" si="33"/>
        <v>2.1854</v>
      </c>
      <c r="Q57" s="290">
        <f t="shared" si="33"/>
        <v>2.3981</v>
      </c>
      <c r="R57" s="290">
        <f t="shared" si="33"/>
        <v>2.3981</v>
      </c>
      <c r="S57" s="290">
        <f t="shared" si="33"/>
        <v>0.3336</v>
      </c>
      <c r="T57" s="290">
        <f t="shared" si="33"/>
        <v>0.3336</v>
      </c>
      <c r="U57" s="290">
        <f t="shared" si="33"/>
        <v>0.3336</v>
      </c>
      <c r="V57" s="290">
        <f t="shared" si="33"/>
        <v>0.3336</v>
      </c>
      <c r="W57" s="290">
        <f t="shared" si="33"/>
        <v>0</v>
      </c>
      <c r="X57" s="290">
        <f t="shared" si="33"/>
        <v>1</v>
      </c>
      <c r="Y57" s="290">
        <f t="shared" si="33"/>
        <v>0.4311</v>
      </c>
      <c r="Z57" s="290">
        <f t="shared" si="33"/>
        <v>0.4311</v>
      </c>
      <c r="AA57" s="290">
        <f>+AA7</f>
        <v>2.1854</v>
      </c>
      <c r="AB57" s="290">
        <f>+AB7</f>
        <v>2.1854</v>
      </c>
      <c r="AC57" s="290">
        <f t="shared" si="33"/>
        <v>2.06</v>
      </c>
      <c r="AD57" s="290">
        <f t="shared" si="33"/>
        <v>2.06</v>
      </c>
      <c r="AE57" s="290" t="str">
        <f>+AE7</f>
        <v>$</v>
      </c>
      <c r="AF57" s="290" t="str">
        <f t="shared" si="33"/>
        <v>$</v>
      </c>
      <c r="AG57" s="217" t="str">
        <f t="shared" si="33"/>
        <v>$</v>
      </c>
      <c r="AH57" s="290">
        <f t="shared" si="33"/>
        <v>2.06</v>
      </c>
      <c r="AI57" s="290" t="str">
        <f t="shared" si="33"/>
        <v>$</v>
      </c>
      <c r="AJ57" s="290" t="str">
        <f t="shared" si="33"/>
        <v>$</v>
      </c>
      <c r="AK57" s="290" t="str">
        <f t="shared" si="33"/>
        <v>$</v>
      </c>
    </row>
    <row r="58" spans="2:37" ht="12.75">
      <c r="B58" s="156"/>
      <c r="C58" s="157"/>
      <c r="D58" s="157"/>
      <c r="E58" s="157"/>
      <c r="F58" s="161"/>
      <c r="G58" s="293"/>
      <c r="H58" s="243"/>
      <c r="I58" s="243"/>
      <c r="K58" s="243"/>
      <c r="L58" s="243"/>
      <c r="M58" s="243"/>
      <c r="N58" s="243"/>
      <c r="O58" s="269"/>
      <c r="P58" s="243"/>
      <c r="Q58" s="269"/>
      <c r="R58" s="243"/>
      <c r="S58" s="269"/>
      <c r="T58" s="243"/>
      <c r="U58" s="269"/>
      <c r="V58" s="243"/>
      <c r="W58" s="294"/>
      <c r="X58" s="243"/>
      <c r="Y58" s="269"/>
      <c r="Z58" s="243"/>
      <c r="AA58" s="269"/>
      <c r="AB58" s="243"/>
      <c r="AC58" s="269"/>
      <c r="AD58" s="243"/>
      <c r="AE58" s="294"/>
      <c r="AF58" s="295"/>
      <c r="AG58" s="269"/>
      <c r="AH58" s="296"/>
      <c r="AI58" s="250"/>
      <c r="AJ58" s="296"/>
      <c r="AK58" s="250"/>
    </row>
    <row r="59" spans="2:37" ht="12.75">
      <c r="B59" s="156" t="s">
        <v>238</v>
      </c>
      <c r="C59" s="157"/>
      <c r="D59" s="157"/>
      <c r="E59" s="157"/>
      <c r="F59" s="158" t="s">
        <v>239</v>
      </c>
      <c r="G59" s="297">
        <v>1</v>
      </c>
      <c r="H59" s="243">
        <v>633730</v>
      </c>
      <c r="I59" s="243"/>
      <c r="K59" s="243">
        <f>23357332+17766977</f>
        <v>41124309</v>
      </c>
      <c r="L59" s="243"/>
      <c r="M59" s="243"/>
      <c r="N59" s="243"/>
      <c r="O59" s="269">
        <v>30712764</v>
      </c>
      <c r="P59" s="237">
        <f aca="true" t="shared" si="34" ref="P59:R74">+O59/P$7</f>
        <v>14053612.153381532</v>
      </c>
      <c r="Q59" s="269">
        <v>886633</v>
      </c>
      <c r="R59" s="237">
        <f t="shared" si="34"/>
        <v>369723.1141320212</v>
      </c>
      <c r="S59" s="269">
        <v>448967</v>
      </c>
      <c r="T59" s="237">
        <f aca="true" t="shared" si="35" ref="T59:T91">+S59/T$7</f>
        <v>1345824.3405275778</v>
      </c>
      <c r="U59" s="269">
        <v>0</v>
      </c>
      <c r="V59" s="237">
        <f aca="true" t="shared" si="36" ref="V59:V91">+U59/V$7</f>
        <v>0</v>
      </c>
      <c r="W59" s="232">
        <f>+K59+P59+R59+T59+V59</f>
        <v>56893468.60804114</v>
      </c>
      <c r="X59" s="243">
        <v>383432</v>
      </c>
      <c r="Y59" s="269">
        <v>633730</v>
      </c>
      <c r="Z59" s="237">
        <f aca="true" t="shared" si="37" ref="Z59:AB74">+Y59/Z$7</f>
        <v>1470030.1554163767</v>
      </c>
      <c r="AA59" s="269">
        <v>0</v>
      </c>
      <c r="AB59" s="237">
        <f t="shared" si="37"/>
        <v>0</v>
      </c>
      <c r="AC59" s="269">
        <v>777362</v>
      </c>
      <c r="AD59" s="237">
        <f aca="true" t="shared" si="38" ref="AD59:AD91">+AC59/AD$7</f>
        <v>377360.1941747573</v>
      </c>
      <c r="AE59" s="232">
        <f aca="true" t="shared" si="39" ref="AE59:AE90">+X59+Z59+AD59+AB59</f>
        <v>2230822.349591134</v>
      </c>
      <c r="AF59" s="240">
        <f aca="true" t="shared" si="40" ref="AF59:AF90">+AE59+W59</f>
        <v>59124290.95763227</v>
      </c>
      <c r="AG59" s="269">
        <v>84203</v>
      </c>
      <c r="AH59" s="241">
        <f aca="true" t="shared" si="41" ref="AH59:AH91">+AG59/AH$7</f>
        <v>40875.2427184466</v>
      </c>
      <c r="AI59" s="242">
        <f aca="true" t="shared" si="42" ref="AI59:AI89">+AF59+AH59</f>
        <v>59165166.20035072</v>
      </c>
      <c r="AJ59" s="296"/>
      <c r="AK59" s="242">
        <f>+AI59+AJ59</f>
        <v>59165166.20035072</v>
      </c>
    </row>
    <row r="60" spans="2:37" ht="12.75">
      <c r="B60" s="156"/>
      <c r="C60" s="157"/>
      <c r="D60" s="157"/>
      <c r="E60" s="157"/>
      <c r="F60" s="158"/>
      <c r="G60" s="297"/>
      <c r="H60" s="243" t="s">
        <v>162</v>
      </c>
      <c r="I60" s="243"/>
      <c r="K60" s="243">
        <v>0</v>
      </c>
      <c r="L60" s="243"/>
      <c r="M60" s="243"/>
      <c r="N60" s="243"/>
      <c r="O60" s="269">
        <v>0</v>
      </c>
      <c r="P60" s="237">
        <f t="shared" si="34"/>
        <v>0</v>
      </c>
      <c r="Q60" s="269">
        <v>0</v>
      </c>
      <c r="R60" s="237">
        <f t="shared" si="34"/>
        <v>0</v>
      </c>
      <c r="S60" s="269">
        <v>0</v>
      </c>
      <c r="T60" s="237">
        <f t="shared" si="35"/>
        <v>0</v>
      </c>
      <c r="U60" s="269">
        <v>0</v>
      </c>
      <c r="V60" s="237">
        <f t="shared" si="36"/>
        <v>0</v>
      </c>
      <c r="W60" s="232"/>
      <c r="X60" s="243" t="s">
        <v>162</v>
      </c>
      <c r="Y60" s="269">
        <v>0</v>
      </c>
      <c r="Z60" s="237">
        <f t="shared" si="37"/>
        <v>0</v>
      </c>
      <c r="AA60" s="269">
        <v>0</v>
      </c>
      <c r="AB60" s="237">
        <f t="shared" si="37"/>
        <v>0</v>
      </c>
      <c r="AC60" s="269">
        <v>0</v>
      </c>
      <c r="AD60" s="237">
        <f t="shared" si="38"/>
        <v>0</v>
      </c>
      <c r="AE60" s="232"/>
      <c r="AF60" s="240">
        <f t="shared" si="40"/>
        <v>0</v>
      </c>
      <c r="AG60" s="269" t="s">
        <v>162</v>
      </c>
      <c r="AH60" s="241"/>
      <c r="AI60" s="242">
        <f t="shared" si="42"/>
        <v>0</v>
      </c>
      <c r="AJ60" s="296" t="s">
        <v>162</v>
      </c>
      <c r="AK60" s="242"/>
    </row>
    <row r="61" spans="2:37" ht="12.75">
      <c r="B61" s="156" t="s">
        <v>240</v>
      </c>
      <c r="C61" s="157"/>
      <c r="D61" s="157"/>
      <c r="E61" s="157"/>
      <c r="F61" s="158" t="s">
        <v>241</v>
      </c>
      <c r="G61" s="297">
        <v>2</v>
      </c>
      <c r="H61" s="243">
        <v>0</v>
      </c>
      <c r="I61" s="243"/>
      <c r="K61" s="243">
        <v>0</v>
      </c>
      <c r="L61" s="243"/>
      <c r="M61" s="243"/>
      <c r="N61" s="243"/>
      <c r="O61" s="269">
        <v>0</v>
      </c>
      <c r="P61" s="237">
        <f t="shared" si="34"/>
        <v>0</v>
      </c>
      <c r="Q61" s="269">
        <v>0</v>
      </c>
      <c r="R61" s="237">
        <f t="shared" si="34"/>
        <v>0</v>
      </c>
      <c r="S61" s="269">
        <v>0</v>
      </c>
      <c r="T61" s="237">
        <f t="shared" si="35"/>
        <v>0</v>
      </c>
      <c r="U61" s="269">
        <v>0</v>
      </c>
      <c r="V61" s="237">
        <f t="shared" si="36"/>
        <v>0</v>
      </c>
      <c r="W61" s="232">
        <f>+K61+P61+R61+T61+V61</f>
        <v>0</v>
      </c>
      <c r="X61" s="243">
        <v>0</v>
      </c>
      <c r="Y61" s="269">
        <v>0</v>
      </c>
      <c r="Z61" s="237">
        <f t="shared" si="37"/>
        <v>0</v>
      </c>
      <c r="AA61" s="269">
        <v>0</v>
      </c>
      <c r="AB61" s="237">
        <f t="shared" si="37"/>
        <v>0</v>
      </c>
      <c r="AC61" s="269">
        <v>0</v>
      </c>
      <c r="AD61" s="237">
        <f t="shared" si="38"/>
        <v>0</v>
      </c>
      <c r="AE61" s="232">
        <f t="shared" si="39"/>
        <v>0</v>
      </c>
      <c r="AF61" s="240">
        <f t="shared" si="40"/>
        <v>0</v>
      </c>
      <c r="AG61" s="269">
        <v>0</v>
      </c>
      <c r="AH61" s="241">
        <f t="shared" si="41"/>
        <v>0</v>
      </c>
      <c r="AI61" s="242">
        <f t="shared" si="42"/>
        <v>0</v>
      </c>
      <c r="AJ61" s="296">
        <v>0</v>
      </c>
      <c r="AK61" s="242">
        <f>+AI61+AJ61</f>
        <v>0</v>
      </c>
    </row>
    <row r="62" spans="2:37" ht="12.75">
      <c r="B62" s="156"/>
      <c r="C62" s="157"/>
      <c r="D62" s="157"/>
      <c r="E62" s="157"/>
      <c r="F62" s="158"/>
      <c r="G62" s="297"/>
      <c r="H62" s="243" t="s">
        <v>162</v>
      </c>
      <c r="I62" s="243"/>
      <c r="K62" s="243" t="s">
        <v>162</v>
      </c>
      <c r="L62" s="243"/>
      <c r="M62" s="243"/>
      <c r="N62" s="243"/>
      <c r="O62" s="269">
        <v>0</v>
      </c>
      <c r="P62" s="237">
        <f t="shared" si="34"/>
        <v>0</v>
      </c>
      <c r="Q62" s="269">
        <v>0</v>
      </c>
      <c r="R62" s="237">
        <f t="shared" si="34"/>
        <v>0</v>
      </c>
      <c r="S62" s="269">
        <v>0</v>
      </c>
      <c r="T62" s="237">
        <f t="shared" si="35"/>
        <v>0</v>
      </c>
      <c r="U62" s="269">
        <v>0</v>
      </c>
      <c r="V62" s="237">
        <f t="shared" si="36"/>
        <v>0</v>
      </c>
      <c r="W62" s="232"/>
      <c r="X62" s="243" t="s">
        <v>162</v>
      </c>
      <c r="Y62" s="269">
        <v>0</v>
      </c>
      <c r="Z62" s="237">
        <f t="shared" si="37"/>
        <v>0</v>
      </c>
      <c r="AA62" s="269">
        <v>0</v>
      </c>
      <c r="AB62" s="237">
        <f t="shared" si="37"/>
        <v>0</v>
      </c>
      <c r="AC62" s="269">
        <v>0</v>
      </c>
      <c r="AD62" s="237">
        <f t="shared" si="38"/>
        <v>0</v>
      </c>
      <c r="AE62" s="232"/>
      <c r="AF62" s="240">
        <f t="shared" si="40"/>
        <v>0</v>
      </c>
      <c r="AG62" s="269" t="s">
        <v>162</v>
      </c>
      <c r="AH62" s="241"/>
      <c r="AI62" s="242">
        <f t="shared" si="42"/>
        <v>0</v>
      </c>
      <c r="AJ62" s="296" t="s">
        <v>162</v>
      </c>
      <c r="AK62" s="242"/>
    </row>
    <row r="63" spans="2:37" ht="12.75">
      <c r="B63" s="156" t="s">
        <v>242</v>
      </c>
      <c r="C63" s="157"/>
      <c r="D63" s="157"/>
      <c r="E63" s="157"/>
      <c r="F63" s="158" t="s">
        <v>243</v>
      </c>
      <c r="G63" s="297">
        <v>3</v>
      </c>
      <c r="H63" s="243">
        <v>168898</v>
      </c>
      <c r="I63" s="243"/>
      <c r="K63" s="243">
        <v>90903483</v>
      </c>
      <c r="L63" s="243"/>
      <c r="M63" s="243"/>
      <c r="N63" s="243"/>
      <c r="O63" s="269"/>
      <c r="P63" s="237">
        <f t="shared" si="34"/>
        <v>0</v>
      </c>
      <c r="Q63" s="269">
        <v>0</v>
      </c>
      <c r="R63" s="237">
        <f t="shared" si="34"/>
        <v>0</v>
      </c>
      <c r="S63" s="269">
        <v>170</v>
      </c>
      <c r="T63" s="237">
        <v>321</v>
      </c>
      <c r="U63" s="269">
        <v>0</v>
      </c>
      <c r="V63" s="237">
        <f t="shared" si="36"/>
        <v>0</v>
      </c>
      <c r="W63" s="232">
        <f aca="true" t="shared" si="43" ref="W63:W86">+K63+P63+R63+T63+V63</f>
        <v>90903804</v>
      </c>
      <c r="X63" s="243">
        <v>0</v>
      </c>
      <c r="Y63" s="269">
        <v>168898</v>
      </c>
      <c r="Z63" s="237">
        <v>391304</v>
      </c>
      <c r="AA63" s="269">
        <v>0</v>
      </c>
      <c r="AB63" s="237">
        <f t="shared" si="37"/>
        <v>0</v>
      </c>
      <c r="AC63" s="269">
        <v>2</v>
      </c>
      <c r="AD63" s="237">
        <f t="shared" si="38"/>
        <v>0.970873786407767</v>
      </c>
      <c r="AE63" s="232">
        <f t="shared" si="39"/>
        <v>391304.9708737864</v>
      </c>
      <c r="AF63" s="240">
        <f t="shared" si="40"/>
        <v>91295108.97087379</v>
      </c>
      <c r="AG63" s="269">
        <v>233750</v>
      </c>
      <c r="AH63" s="241">
        <f t="shared" si="41"/>
        <v>113470.87378640777</v>
      </c>
      <c r="AI63" s="242">
        <f t="shared" si="42"/>
        <v>91408579.8446602</v>
      </c>
      <c r="AJ63" s="296">
        <v>-91408580</v>
      </c>
      <c r="AK63" s="242">
        <f aca="true" t="shared" si="44" ref="AK63:AK90">+AI63+AJ63</f>
        <v>-0.1553398072719574</v>
      </c>
    </row>
    <row r="64" spans="2:37" ht="12.75">
      <c r="B64" s="156"/>
      <c r="C64" s="157" t="s">
        <v>162</v>
      </c>
      <c r="D64" s="157"/>
      <c r="E64" s="157"/>
      <c r="F64" s="158"/>
      <c r="G64" s="297"/>
      <c r="H64" s="243"/>
      <c r="I64" s="243"/>
      <c r="K64" s="243"/>
      <c r="L64" s="243"/>
      <c r="M64" s="243"/>
      <c r="N64" s="243"/>
      <c r="O64" s="269"/>
      <c r="P64" s="237">
        <f t="shared" si="34"/>
        <v>0</v>
      </c>
      <c r="Q64" s="269"/>
      <c r="R64" s="237">
        <f t="shared" si="34"/>
        <v>0</v>
      </c>
      <c r="S64" s="269"/>
      <c r="T64" s="237">
        <f t="shared" si="35"/>
        <v>0</v>
      </c>
      <c r="U64" s="269"/>
      <c r="V64" s="237">
        <f t="shared" si="36"/>
        <v>0</v>
      </c>
      <c r="W64" s="232">
        <f t="shared" si="43"/>
        <v>0</v>
      </c>
      <c r="X64" s="243"/>
      <c r="Y64" s="269"/>
      <c r="Z64" s="237">
        <f t="shared" si="37"/>
        <v>0</v>
      </c>
      <c r="AA64" s="269"/>
      <c r="AB64" s="237">
        <f t="shared" si="37"/>
        <v>0</v>
      </c>
      <c r="AC64" s="269"/>
      <c r="AD64" s="237">
        <f t="shared" si="38"/>
        <v>0</v>
      </c>
      <c r="AE64" s="232">
        <f t="shared" si="39"/>
        <v>0</v>
      </c>
      <c r="AF64" s="240">
        <f t="shared" si="40"/>
        <v>0</v>
      </c>
      <c r="AG64" s="269"/>
      <c r="AH64" s="241">
        <f t="shared" si="41"/>
        <v>0</v>
      </c>
      <c r="AI64" s="242">
        <f t="shared" si="42"/>
        <v>0</v>
      </c>
      <c r="AJ64" s="296"/>
      <c r="AK64" s="242">
        <f t="shared" si="44"/>
        <v>0</v>
      </c>
    </row>
    <row r="65" spans="2:37" ht="12.75">
      <c r="B65" s="156" t="s">
        <v>244</v>
      </c>
      <c r="C65" s="157"/>
      <c r="D65" s="157"/>
      <c r="E65" s="157"/>
      <c r="F65" s="158" t="s">
        <v>245</v>
      </c>
      <c r="G65" s="297">
        <v>4</v>
      </c>
      <c r="H65" s="243">
        <v>0</v>
      </c>
      <c r="I65" s="243"/>
      <c r="K65" s="243">
        <v>4076033</v>
      </c>
      <c r="L65" s="243"/>
      <c r="M65" s="243"/>
      <c r="N65" s="243"/>
      <c r="O65" s="269">
        <v>1250630</v>
      </c>
      <c r="P65" s="237">
        <f t="shared" si="34"/>
        <v>572265.9467374394</v>
      </c>
      <c r="Q65" s="269">
        <v>0</v>
      </c>
      <c r="R65" s="237">
        <f t="shared" si="34"/>
        <v>0</v>
      </c>
      <c r="S65" s="269">
        <v>0</v>
      </c>
      <c r="T65" s="237">
        <f t="shared" si="35"/>
        <v>0</v>
      </c>
      <c r="U65" s="269">
        <v>0</v>
      </c>
      <c r="V65" s="237">
        <f t="shared" si="36"/>
        <v>0</v>
      </c>
      <c r="W65" s="232">
        <f t="shared" si="43"/>
        <v>4648298.946737439</v>
      </c>
      <c r="X65" s="243">
        <v>-108519</v>
      </c>
      <c r="Y65" s="269">
        <v>0</v>
      </c>
      <c r="Z65" s="237">
        <f t="shared" si="37"/>
        <v>0</v>
      </c>
      <c r="AA65" s="269">
        <v>0</v>
      </c>
      <c r="AB65" s="237">
        <f t="shared" si="37"/>
        <v>0</v>
      </c>
      <c r="AC65" s="269">
        <v>0</v>
      </c>
      <c r="AD65" s="237">
        <f t="shared" si="38"/>
        <v>0</v>
      </c>
      <c r="AE65" s="232">
        <f t="shared" si="39"/>
        <v>-108519</v>
      </c>
      <c r="AF65" s="240">
        <f t="shared" si="40"/>
        <v>4539779.946737439</v>
      </c>
      <c r="AG65" s="269">
        <v>5737830</v>
      </c>
      <c r="AH65" s="241">
        <f t="shared" si="41"/>
        <v>2785354.3689320385</v>
      </c>
      <c r="AI65" s="242">
        <f t="shared" si="42"/>
        <v>7325134.315669478</v>
      </c>
      <c r="AJ65" s="296">
        <v>484153</v>
      </c>
      <c r="AK65" s="242">
        <f t="shared" si="44"/>
        <v>7809287.315669478</v>
      </c>
    </row>
    <row r="66" spans="2:37" ht="12.75">
      <c r="B66" s="156"/>
      <c r="C66" s="157"/>
      <c r="D66" s="157"/>
      <c r="E66" s="157"/>
      <c r="F66" s="158"/>
      <c r="G66" s="297"/>
      <c r="H66" s="243"/>
      <c r="I66" s="243"/>
      <c r="K66" s="243"/>
      <c r="L66" s="243"/>
      <c r="M66" s="243"/>
      <c r="N66" s="243"/>
      <c r="O66" s="269"/>
      <c r="P66" s="237">
        <f t="shared" si="34"/>
        <v>0</v>
      </c>
      <c r="Q66" s="269"/>
      <c r="R66" s="237">
        <f t="shared" si="34"/>
        <v>0</v>
      </c>
      <c r="S66" s="269"/>
      <c r="T66" s="237">
        <f t="shared" si="35"/>
        <v>0</v>
      </c>
      <c r="U66" s="269"/>
      <c r="V66" s="237">
        <f t="shared" si="36"/>
        <v>0</v>
      </c>
      <c r="W66" s="232">
        <f t="shared" si="43"/>
        <v>0</v>
      </c>
      <c r="X66" s="243"/>
      <c r="Y66" s="269"/>
      <c r="Z66" s="237">
        <f t="shared" si="37"/>
        <v>0</v>
      </c>
      <c r="AA66" s="269"/>
      <c r="AB66" s="237">
        <f t="shared" si="37"/>
        <v>0</v>
      </c>
      <c r="AC66" s="269"/>
      <c r="AD66" s="237">
        <f t="shared" si="38"/>
        <v>0</v>
      </c>
      <c r="AE66" s="232">
        <f t="shared" si="39"/>
        <v>0</v>
      </c>
      <c r="AF66" s="240">
        <f t="shared" si="40"/>
        <v>0</v>
      </c>
      <c r="AG66" s="269"/>
      <c r="AH66" s="241">
        <f t="shared" si="41"/>
        <v>0</v>
      </c>
      <c r="AI66" s="242">
        <f t="shared" si="42"/>
        <v>0</v>
      </c>
      <c r="AJ66" s="296"/>
      <c r="AK66" s="242">
        <f t="shared" si="44"/>
        <v>0</v>
      </c>
    </row>
    <row r="67" spans="2:37" ht="12.75">
      <c r="B67" s="156"/>
      <c r="C67" s="157"/>
      <c r="D67" s="157"/>
      <c r="E67" s="157"/>
      <c r="F67" s="158"/>
      <c r="G67" s="297">
        <v>5</v>
      </c>
      <c r="H67" s="243"/>
      <c r="I67" s="243"/>
      <c r="K67" s="243"/>
      <c r="L67" s="243"/>
      <c r="M67" s="243"/>
      <c r="N67" s="243"/>
      <c r="O67" s="269"/>
      <c r="P67" s="237">
        <f t="shared" si="34"/>
        <v>0</v>
      </c>
      <c r="Q67" s="269"/>
      <c r="R67" s="237">
        <f t="shared" si="34"/>
        <v>0</v>
      </c>
      <c r="S67" s="269"/>
      <c r="T67" s="237">
        <f t="shared" si="35"/>
        <v>0</v>
      </c>
      <c r="U67" s="269"/>
      <c r="V67" s="237">
        <f t="shared" si="36"/>
        <v>0</v>
      </c>
      <c r="W67" s="232">
        <f t="shared" si="43"/>
        <v>0</v>
      </c>
      <c r="X67" s="243"/>
      <c r="Y67" s="269"/>
      <c r="Z67" s="237">
        <f t="shared" si="37"/>
        <v>0</v>
      </c>
      <c r="AA67" s="269"/>
      <c r="AB67" s="237">
        <f t="shared" si="37"/>
        <v>0</v>
      </c>
      <c r="AC67" s="269"/>
      <c r="AD67" s="237">
        <f t="shared" si="38"/>
        <v>0</v>
      </c>
      <c r="AE67" s="232">
        <f t="shared" si="39"/>
        <v>0</v>
      </c>
      <c r="AF67" s="240">
        <f t="shared" si="40"/>
        <v>0</v>
      </c>
      <c r="AG67" s="269"/>
      <c r="AH67" s="241">
        <f t="shared" si="41"/>
        <v>0</v>
      </c>
      <c r="AI67" s="242">
        <f t="shared" si="42"/>
        <v>0</v>
      </c>
      <c r="AJ67" s="296"/>
      <c r="AK67" s="242">
        <f t="shared" si="44"/>
        <v>0</v>
      </c>
    </row>
    <row r="68" spans="2:37" ht="12.75">
      <c r="B68" s="156"/>
      <c r="C68" s="157" t="s">
        <v>162</v>
      </c>
      <c r="D68" s="157"/>
      <c r="E68" s="157"/>
      <c r="F68" s="158"/>
      <c r="G68" s="297"/>
      <c r="H68" s="243"/>
      <c r="I68" s="243"/>
      <c r="K68" s="243"/>
      <c r="L68" s="243"/>
      <c r="M68" s="243"/>
      <c r="N68" s="243"/>
      <c r="O68" s="269"/>
      <c r="P68" s="237">
        <f t="shared" si="34"/>
        <v>0</v>
      </c>
      <c r="Q68" s="269"/>
      <c r="R68" s="237">
        <f t="shared" si="34"/>
        <v>0</v>
      </c>
      <c r="S68" s="269"/>
      <c r="T68" s="237">
        <f t="shared" si="35"/>
        <v>0</v>
      </c>
      <c r="U68" s="269"/>
      <c r="V68" s="237">
        <f t="shared" si="36"/>
        <v>0</v>
      </c>
      <c r="W68" s="232">
        <f t="shared" si="43"/>
        <v>0</v>
      </c>
      <c r="X68" s="243"/>
      <c r="Y68" s="269"/>
      <c r="Z68" s="237">
        <f t="shared" si="37"/>
        <v>0</v>
      </c>
      <c r="AA68" s="269"/>
      <c r="AB68" s="237">
        <f t="shared" si="37"/>
        <v>0</v>
      </c>
      <c r="AC68" s="269"/>
      <c r="AD68" s="237">
        <f t="shared" si="38"/>
        <v>0</v>
      </c>
      <c r="AE68" s="232">
        <f t="shared" si="39"/>
        <v>0</v>
      </c>
      <c r="AF68" s="240">
        <f t="shared" si="40"/>
        <v>0</v>
      </c>
      <c r="AG68" s="269"/>
      <c r="AH68" s="241">
        <f t="shared" si="41"/>
        <v>0</v>
      </c>
      <c r="AI68" s="242">
        <f t="shared" si="42"/>
        <v>0</v>
      </c>
      <c r="AJ68" s="296"/>
      <c r="AK68" s="242">
        <f t="shared" si="44"/>
        <v>0</v>
      </c>
    </row>
    <row r="69" spans="2:37" ht="12.75">
      <c r="B69" s="156" t="s">
        <v>246</v>
      </c>
      <c r="C69" s="157"/>
      <c r="D69" s="157"/>
      <c r="E69" s="157"/>
      <c r="F69" s="158" t="s">
        <v>247</v>
      </c>
      <c r="G69" s="297">
        <v>6</v>
      </c>
      <c r="H69" s="243">
        <v>0</v>
      </c>
      <c r="I69" s="243"/>
      <c r="K69" s="243">
        <v>0</v>
      </c>
      <c r="L69" s="243"/>
      <c r="M69" s="243"/>
      <c r="N69" s="243"/>
      <c r="O69" s="269">
        <v>0</v>
      </c>
      <c r="P69" s="237">
        <f t="shared" si="34"/>
        <v>0</v>
      </c>
      <c r="Q69" s="269">
        <v>0</v>
      </c>
      <c r="R69" s="237">
        <f t="shared" si="34"/>
        <v>0</v>
      </c>
      <c r="S69" s="269">
        <v>0</v>
      </c>
      <c r="T69" s="237">
        <f t="shared" si="35"/>
        <v>0</v>
      </c>
      <c r="U69" s="269">
        <v>0</v>
      </c>
      <c r="V69" s="237">
        <f t="shared" si="36"/>
        <v>0</v>
      </c>
      <c r="W69" s="232">
        <f t="shared" si="43"/>
        <v>0</v>
      </c>
      <c r="X69" s="243">
        <v>0</v>
      </c>
      <c r="Y69" s="269">
        <v>0</v>
      </c>
      <c r="Z69" s="237">
        <f t="shared" si="37"/>
        <v>0</v>
      </c>
      <c r="AA69" s="269">
        <v>0</v>
      </c>
      <c r="AB69" s="237">
        <f t="shared" si="37"/>
        <v>0</v>
      </c>
      <c r="AC69" s="269">
        <v>0</v>
      </c>
      <c r="AD69" s="237">
        <f t="shared" si="38"/>
        <v>0</v>
      </c>
      <c r="AE69" s="232">
        <f t="shared" si="39"/>
        <v>0</v>
      </c>
      <c r="AF69" s="240">
        <f t="shared" si="40"/>
        <v>0</v>
      </c>
      <c r="AG69" s="269">
        <v>0</v>
      </c>
      <c r="AH69" s="241">
        <f t="shared" si="41"/>
        <v>0</v>
      </c>
      <c r="AI69" s="242">
        <f t="shared" si="42"/>
        <v>0</v>
      </c>
      <c r="AJ69" s="296">
        <v>0</v>
      </c>
      <c r="AK69" s="242">
        <f t="shared" si="44"/>
        <v>0</v>
      </c>
    </row>
    <row r="70" spans="2:37" ht="12.75">
      <c r="B70" s="156"/>
      <c r="C70" s="157"/>
      <c r="D70" s="157"/>
      <c r="E70" s="157"/>
      <c r="F70" s="158"/>
      <c r="G70" s="297"/>
      <c r="H70" s="243"/>
      <c r="I70" s="243"/>
      <c r="K70" s="243"/>
      <c r="L70" s="243"/>
      <c r="M70" s="243"/>
      <c r="N70" s="243"/>
      <c r="O70" s="269"/>
      <c r="P70" s="237">
        <f t="shared" si="34"/>
        <v>0</v>
      </c>
      <c r="Q70" s="269"/>
      <c r="R70" s="237">
        <f t="shared" si="34"/>
        <v>0</v>
      </c>
      <c r="S70" s="269"/>
      <c r="T70" s="237">
        <f t="shared" si="35"/>
        <v>0</v>
      </c>
      <c r="U70" s="269"/>
      <c r="V70" s="237">
        <f t="shared" si="36"/>
        <v>0</v>
      </c>
      <c r="W70" s="232">
        <f t="shared" si="43"/>
        <v>0</v>
      </c>
      <c r="X70" s="243"/>
      <c r="Y70" s="269"/>
      <c r="Z70" s="237">
        <f t="shared" si="37"/>
        <v>0</v>
      </c>
      <c r="AA70" s="269"/>
      <c r="AB70" s="237">
        <f t="shared" si="37"/>
        <v>0</v>
      </c>
      <c r="AC70" s="269"/>
      <c r="AD70" s="237">
        <f t="shared" si="38"/>
        <v>0</v>
      </c>
      <c r="AE70" s="232">
        <f t="shared" si="39"/>
        <v>0</v>
      </c>
      <c r="AF70" s="240">
        <f t="shared" si="40"/>
        <v>0</v>
      </c>
      <c r="AG70" s="269"/>
      <c r="AH70" s="241">
        <f t="shared" si="41"/>
        <v>0</v>
      </c>
      <c r="AI70" s="242">
        <f t="shared" si="42"/>
        <v>0</v>
      </c>
      <c r="AJ70" s="296"/>
      <c r="AK70" s="242">
        <f t="shared" si="44"/>
        <v>0</v>
      </c>
    </row>
    <row r="71" spans="2:37" ht="12.75">
      <c r="B71" s="156" t="s">
        <v>248</v>
      </c>
      <c r="C71" s="157"/>
      <c r="D71" s="157"/>
      <c r="E71" s="157"/>
      <c r="F71" s="158" t="s">
        <v>249</v>
      </c>
      <c r="G71" s="297">
        <v>7</v>
      </c>
      <c r="H71" s="243">
        <v>0</v>
      </c>
      <c r="I71" s="243"/>
      <c r="K71" s="243">
        <v>0</v>
      </c>
      <c r="L71" s="243"/>
      <c r="M71" s="243"/>
      <c r="N71" s="243"/>
      <c r="O71" s="269"/>
      <c r="P71" s="237">
        <f t="shared" si="34"/>
        <v>0</v>
      </c>
      <c r="Q71" s="269">
        <v>0</v>
      </c>
      <c r="R71" s="237">
        <f t="shared" si="34"/>
        <v>0</v>
      </c>
      <c r="S71" s="269">
        <v>0</v>
      </c>
      <c r="T71" s="237">
        <f t="shared" si="35"/>
        <v>0</v>
      </c>
      <c r="U71" s="269">
        <v>0</v>
      </c>
      <c r="V71" s="237">
        <f t="shared" si="36"/>
        <v>0</v>
      </c>
      <c r="W71" s="232">
        <f t="shared" si="43"/>
        <v>0</v>
      </c>
      <c r="X71" s="243">
        <v>0</v>
      </c>
      <c r="Y71" s="269">
        <v>0</v>
      </c>
      <c r="Z71" s="237">
        <f t="shared" si="37"/>
        <v>0</v>
      </c>
      <c r="AA71" s="269">
        <v>0</v>
      </c>
      <c r="AB71" s="237">
        <f t="shared" si="37"/>
        <v>0</v>
      </c>
      <c r="AC71" s="269">
        <v>0</v>
      </c>
      <c r="AD71" s="237">
        <f t="shared" si="38"/>
        <v>0</v>
      </c>
      <c r="AE71" s="232">
        <f t="shared" si="39"/>
        <v>0</v>
      </c>
      <c r="AF71" s="240">
        <f t="shared" si="40"/>
        <v>0</v>
      </c>
      <c r="AG71" s="269">
        <v>0</v>
      </c>
      <c r="AH71" s="241">
        <f t="shared" si="41"/>
        <v>0</v>
      </c>
      <c r="AI71" s="242">
        <f t="shared" si="42"/>
        <v>0</v>
      </c>
      <c r="AJ71" s="296">
        <v>0</v>
      </c>
      <c r="AK71" s="242">
        <f t="shared" si="44"/>
        <v>0</v>
      </c>
    </row>
    <row r="72" spans="2:37" ht="12.75">
      <c r="B72" s="156"/>
      <c r="C72" s="157"/>
      <c r="D72" s="157"/>
      <c r="E72" s="157"/>
      <c r="F72" s="158"/>
      <c r="G72" s="297"/>
      <c r="H72" s="243"/>
      <c r="I72" s="243"/>
      <c r="K72" s="243"/>
      <c r="L72" s="243"/>
      <c r="M72" s="243"/>
      <c r="N72" s="243"/>
      <c r="O72" s="269"/>
      <c r="P72" s="237">
        <f t="shared" si="34"/>
        <v>0</v>
      </c>
      <c r="Q72" s="269"/>
      <c r="R72" s="237">
        <f t="shared" si="34"/>
        <v>0</v>
      </c>
      <c r="S72" s="269"/>
      <c r="T72" s="237">
        <f t="shared" si="35"/>
        <v>0</v>
      </c>
      <c r="U72" s="269"/>
      <c r="V72" s="237">
        <f t="shared" si="36"/>
        <v>0</v>
      </c>
      <c r="W72" s="232">
        <f t="shared" si="43"/>
        <v>0</v>
      </c>
      <c r="X72" s="243"/>
      <c r="Y72" s="269"/>
      <c r="Z72" s="237">
        <f t="shared" si="37"/>
        <v>0</v>
      </c>
      <c r="AA72" s="269"/>
      <c r="AB72" s="237">
        <f t="shared" si="37"/>
        <v>0</v>
      </c>
      <c r="AC72" s="269"/>
      <c r="AD72" s="237">
        <f t="shared" si="38"/>
        <v>0</v>
      </c>
      <c r="AE72" s="232">
        <f t="shared" si="39"/>
        <v>0</v>
      </c>
      <c r="AF72" s="240">
        <f t="shared" si="40"/>
        <v>0</v>
      </c>
      <c r="AG72" s="269"/>
      <c r="AH72" s="241">
        <f t="shared" si="41"/>
        <v>0</v>
      </c>
      <c r="AI72" s="242">
        <f t="shared" si="42"/>
        <v>0</v>
      </c>
      <c r="AJ72" s="296"/>
      <c r="AK72" s="242">
        <f t="shared" si="44"/>
        <v>0</v>
      </c>
    </row>
    <row r="73" spans="2:37" ht="12.75">
      <c r="B73" s="156" t="s">
        <v>250</v>
      </c>
      <c r="C73" s="157"/>
      <c r="D73" s="157"/>
      <c r="E73" s="157"/>
      <c r="F73" s="158" t="s">
        <v>251</v>
      </c>
      <c r="G73" s="297">
        <v>8</v>
      </c>
      <c r="H73" s="243">
        <v>3323901</v>
      </c>
      <c r="I73" s="243"/>
      <c r="K73" s="243">
        <v>4243670</v>
      </c>
      <c r="L73" s="243"/>
      <c r="M73" s="243"/>
      <c r="N73" s="243"/>
      <c r="O73" s="269">
        <v>1945703</v>
      </c>
      <c r="P73" s="237">
        <f t="shared" si="34"/>
        <v>890318.9347487874</v>
      </c>
      <c r="Q73" s="269">
        <v>0</v>
      </c>
      <c r="R73" s="237">
        <f t="shared" si="34"/>
        <v>0</v>
      </c>
      <c r="S73" s="269">
        <v>0</v>
      </c>
      <c r="T73" s="237">
        <f t="shared" si="35"/>
        <v>0</v>
      </c>
      <c r="U73" s="269">
        <v>0</v>
      </c>
      <c r="V73" s="237">
        <f t="shared" si="36"/>
        <v>0</v>
      </c>
      <c r="W73" s="232">
        <f t="shared" si="43"/>
        <v>5133988.934748787</v>
      </c>
      <c r="X73" s="243"/>
      <c r="Y73" s="269">
        <v>330604</v>
      </c>
      <c r="Z73" s="237">
        <f t="shared" si="37"/>
        <v>766884.7135235445</v>
      </c>
      <c r="AA73" s="269">
        <v>0</v>
      </c>
      <c r="AB73" s="237">
        <f t="shared" si="37"/>
        <v>0</v>
      </c>
      <c r="AC73" s="269">
        <v>0</v>
      </c>
      <c r="AD73" s="237">
        <f t="shared" si="38"/>
        <v>0</v>
      </c>
      <c r="AE73" s="232">
        <f t="shared" si="39"/>
        <v>766884.7135235445</v>
      </c>
      <c r="AF73" s="240">
        <f t="shared" si="40"/>
        <v>5900873.648272332</v>
      </c>
      <c r="AG73" s="269">
        <v>0</v>
      </c>
      <c r="AH73" s="241">
        <f t="shared" si="41"/>
        <v>0</v>
      </c>
      <c r="AI73" s="242">
        <f t="shared" si="42"/>
        <v>5900873.648272332</v>
      </c>
      <c r="AJ73" s="296"/>
      <c r="AK73" s="242">
        <f t="shared" si="44"/>
        <v>5900873.648272332</v>
      </c>
    </row>
    <row r="74" spans="2:37" ht="12.75">
      <c r="B74" s="156"/>
      <c r="C74" s="157"/>
      <c r="D74" s="157"/>
      <c r="E74" s="157"/>
      <c r="F74" s="158"/>
      <c r="G74" s="297"/>
      <c r="H74" s="243"/>
      <c r="I74" s="243"/>
      <c r="K74" s="243"/>
      <c r="L74" s="243"/>
      <c r="M74" s="243"/>
      <c r="N74" s="243"/>
      <c r="O74" s="269"/>
      <c r="P74" s="237">
        <f t="shared" si="34"/>
        <v>0</v>
      </c>
      <c r="Q74" s="269"/>
      <c r="R74" s="237">
        <f t="shared" si="34"/>
        <v>0</v>
      </c>
      <c r="S74" s="269"/>
      <c r="T74" s="237">
        <f t="shared" si="35"/>
        <v>0</v>
      </c>
      <c r="U74" s="269"/>
      <c r="V74" s="237">
        <f t="shared" si="36"/>
        <v>0</v>
      </c>
      <c r="W74" s="232">
        <f t="shared" si="43"/>
        <v>0</v>
      </c>
      <c r="X74" s="243"/>
      <c r="Y74" s="269"/>
      <c r="Z74" s="237">
        <f t="shared" si="37"/>
        <v>0</v>
      </c>
      <c r="AA74" s="269"/>
      <c r="AB74" s="237">
        <f t="shared" si="37"/>
        <v>0</v>
      </c>
      <c r="AC74" s="269"/>
      <c r="AD74" s="237">
        <f t="shared" si="38"/>
        <v>0</v>
      </c>
      <c r="AE74" s="232">
        <f t="shared" si="39"/>
        <v>0</v>
      </c>
      <c r="AF74" s="240">
        <f t="shared" si="40"/>
        <v>0</v>
      </c>
      <c r="AG74" s="269"/>
      <c r="AH74" s="241">
        <f t="shared" si="41"/>
        <v>0</v>
      </c>
      <c r="AI74" s="242">
        <f t="shared" si="42"/>
        <v>0</v>
      </c>
      <c r="AJ74" s="296"/>
      <c r="AK74" s="242">
        <f t="shared" si="44"/>
        <v>0</v>
      </c>
    </row>
    <row r="75" spans="2:37" ht="12.75">
      <c r="B75" s="156" t="s">
        <v>252</v>
      </c>
      <c r="C75" s="157"/>
      <c r="D75" s="157"/>
      <c r="E75" s="157"/>
      <c r="F75" s="158" t="s">
        <v>251</v>
      </c>
      <c r="G75" s="297">
        <v>9</v>
      </c>
      <c r="H75" s="243"/>
      <c r="I75" s="243"/>
      <c r="K75" s="243"/>
      <c r="L75" s="243"/>
      <c r="M75" s="243"/>
      <c r="N75" s="243"/>
      <c r="O75" s="269"/>
      <c r="P75" s="237">
        <f aca="true" t="shared" si="45" ref="P75:R90">+O75/P$7</f>
        <v>0</v>
      </c>
      <c r="Q75" s="269"/>
      <c r="R75" s="237">
        <f t="shared" si="45"/>
        <v>0</v>
      </c>
      <c r="S75" s="269"/>
      <c r="T75" s="237">
        <f t="shared" si="35"/>
        <v>0</v>
      </c>
      <c r="U75" s="269"/>
      <c r="V75" s="237">
        <f t="shared" si="36"/>
        <v>0</v>
      </c>
      <c r="W75" s="232">
        <f t="shared" si="43"/>
        <v>0</v>
      </c>
      <c r="X75" s="243"/>
      <c r="Y75" s="269">
        <v>3230664</v>
      </c>
      <c r="Z75" s="237">
        <v>5159157</v>
      </c>
      <c r="AA75" s="269"/>
      <c r="AB75" s="237">
        <f aca="true" t="shared" si="46" ref="AB75:AB91">+AA75/AB$7</f>
        <v>0</v>
      </c>
      <c r="AC75" s="269"/>
      <c r="AD75" s="237">
        <f t="shared" si="38"/>
        <v>0</v>
      </c>
      <c r="AE75" s="232">
        <f t="shared" si="39"/>
        <v>5159157</v>
      </c>
      <c r="AF75" s="240">
        <f t="shared" si="40"/>
        <v>5159157</v>
      </c>
      <c r="AG75" s="269">
        <v>0</v>
      </c>
      <c r="AH75" s="241">
        <f t="shared" si="41"/>
        <v>0</v>
      </c>
      <c r="AI75" s="242">
        <f t="shared" si="42"/>
        <v>5159157</v>
      </c>
      <c r="AJ75" s="296">
        <f>18933106-4575969</f>
        <v>14357137</v>
      </c>
      <c r="AK75" s="242">
        <f t="shared" si="44"/>
        <v>19516294</v>
      </c>
    </row>
    <row r="76" spans="2:37" ht="12.75">
      <c r="B76" s="156"/>
      <c r="C76" s="157"/>
      <c r="D76" s="157"/>
      <c r="E76" s="157"/>
      <c r="F76" s="158"/>
      <c r="G76" s="297"/>
      <c r="H76" s="243"/>
      <c r="I76" s="243"/>
      <c r="K76" s="243"/>
      <c r="L76" s="243"/>
      <c r="M76" s="243"/>
      <c r="N76" s="243"/>
      <c r="O76" s="269"/>
      <c r="P76" s="237">
        <f t="shared" si="45"/>
        <v>0</v>
      </c>
      <c r="Q76" s="269"/>
      <c r="R76" s="237">
        <f t="shared" si="45"/>
        <v>0</v>
      </c>
      <c r="S76" s="269"/>
      <c r="T76" s="237">
        <f t="shared" si="35"/>
        <v>0</v>
      </c>
      <c r="U76" s="269"/>
      <c r="V76" s="237">
        <f t="shared" si="36"/>
        <v>0</v>
      </c>
      <c r="W76" s="232">
        <f t="shared" si="43"/>
        <v>0</v>
      </c>
      <c r="X76" s="243"/>
      <c r="Y76" s="269"/>
      <c r="Z76" s="237">
        <f aca="true" t="shared" si="47" ref="Z76:Z91">+Y76/Z$7</f>
        <v>0</v>
      </c>
      <c r="AA76" s="269"/>
      <c r="AB76" s="237">
        <f t="shared" si="46"/>
        <v>0</v>
      </c>
      <c r="AC76" s="269"/>
      <c r="AD76" s="237">
        <f t="shared" si="38"/>
        <v>0</v>
      </c>
      <c r="AE76" s="232">
        <f t="shared" si="39"/>
        <v>0</v>
      </c>
      <c r="AF76" s="240">
        <f t="shared" si="40"/>
        <v>0</v>
      </c>
      <c r="AG76" s="269"/>
      <c r="AH76" s="241">
        <f t="shared" si="41"/>
        <v>0</v>
      </c>
      <c r="AI76" s="242">
        <f t="shared" si="42"/>
        <v>0</v>
      </c>
      <c r="AJ76" s="296"/>
      <c r="AK76" s="242">
        <f t="shared" si="44"/>
        <v>0</v>
      </c>
    </row>
    <row r="77" spans="2:37" ht="12.75">
      <c r="B77" s="156" t="s">
        <v>253</v>
      </c>
      <c r="C77" s="157"/>
      <c r="D77" s="157"/>
      <c r="E77" s="157"/>
      <c r="F77" s="158"/>
      <c r="G77" s="297"/>
      <c r="H77" s="243"/>
      <c r="I77" s="243"/>
      <c r="K77" s="243"/>
      <c r="L77" s="243"/>
      <c r="M77" s="243"/>
      <c r="N77" s="243"/>
      <c r="O77" s="269"/>
      <c r="P77" s="237">
        <f t="shared" si="45"/>
        <v>0</v>
      </c>
      <c r="Q77" s="269"/>
      <c r="R77" s="237">
        <f t="shared" si="45"/>
        <v>0</v>
      </c>
      <c r="S77" s="269"/>
      <c r="T77" s="237">
        <f t="shared" si="35"/>
        <v>0</v>
      </c>
      <c r="U77" s="269"/>
      <c r="V77" s="237">
        <f t="shared" si="36"/>
        <v>0</v>
      </c>
      <c r="W77" s="232">
        <f t="shared" si="43"/>
        <v>0</v>
      </c>
      <c r="X77" s="243"/>
      <c r="Y77" s="269"/>
      <c r="Z77" s="237">
        <f t="shared" si="47"/>
        <v>0</v>
      </c>
      <c r="AA77" s="269"/>
      <c r="AB77" s="237">
        <f t="shared" si="46"/>
        <v>0</v>
      </c>
      <c r="AC77" s="269"/>
      <c r="AD77" s="237">
        <f t="shared" si="38"/>
        <v>0</v>
      </c>
      <c r="AE77" s="232">
        <f t="shared" si="39"/>
        <v>0</v>
      </c>
      <c r="AF77" s="240">
        <f t="shared" si="40"/>
        <v>0</v>
      </c>
      <c r="AG77" s="269"/>
      <c r="AH77" s="241">
        <f t="shared" si="41"/>
        <v>0</v>
      </c>
      <c r="AI77" s="242">
        <f t="shared" si="42"/>
        <v>0</v>
      </c>
      <c r="AJ77" s="296"/>
      <c r="AK77" s="242">
        <f t="shared" si="44"/>
        <v>0</v>
      </c>
    </row>
    <row r="78" spans="2:37" ht="12.75">
      <c r="B78" s="156" t="s">
        <v>162</v>
      </c>
      <c r="C78" s="157" t="s">
        <v>254</v>
      </c>
      <c r="D78" s="157"/>
      <c r="E78" s="157"/>
      <c r="F78" s="158" t="s">
        <v>249</v>
      </c>
      <c r="G78" s="297">
        <v>10</v>
      </c>
      <c r="H78" s="243">
        <v>0</v>
      </c>
      <c r="I78" s="243"/>
      <c r="K78" s="243"/>
      <c r="L78" s="243"/>
      <c r="M78" s="243"/>
      <c r="N78" s="243"/>
      <c r="O78" s="269">
        <v>0</v>
      </c>
      <c r="P78" s="237">
        <f t="shared" si="45"/>
        <v>0</v>
      </c>
      <c r="Q78" s="269">
        <v>0</v>
      </c>
      <c r="R78" s="237">
        <f t="shared" si="45"/>
        <v>0</v>
      </c>
      <c r="S78" s="269">
        <v>0</v>
      </c>
      <c r="T78" s="237">
        <f t="shared" si="35"/>
        <v>0</v>
      </c>
      <c r="U78" s="269">
        <v>0</v>
      </c>
      <c r="V78" s="237">
        <f t="shared" si="36"/>
        <v>0</v>
      </c>
      <c r="W78" s="232">
        <f t="shared" si="43"/>
        <v>0</v>
      </c>
      <c r="X78" s="243">
        <v>0</v>
      </c>
      <c r="Y78" s="269">
        <v>0</v>
      </c>
      <c r="Z78" s="237">
        <f t="shared" si="47"/>
        <v>0</v>
      </c>
      <c r="AA78" s="269">
        <v>0</v>
      </c>
      <c r="AB78" s="237">
        <f t="shared" si="46"/>
        <v>0</v>
      </c>
      <c r="AC78" s="269">
        <v>0</v>
      </c>
      <c r="AD78" s="237">
        <f t="shared" si="38"/>
        <v>0</v>
      </c>
      <c r="AE78" s="232">
        <f t="shared" si="39"/>
        <v>0</v>
      </c>
      <c r="AF78" s="240">
        <f t="shared" si="40"/>
        <v>0</v>
      </c>
      <c r="AG78" s="269"/>
      <c r="AH78" s="241">
        <f t="shared" si="41"/>
        <v>0</v>
      </c>
      <c r="AI78" s="242">
        <f t="shared" si="42"/>
        <v>0</v>
      </c>
      <c r="AJ78" s="296">
        <v>0</v>
      </c>
      <c r="AK78" s="242">
        <f t="shared" si="44"/>
        <v>0</v>
      </c>
    </row>
    <row r="79" spans="2:37" ht="12.75">
      <c r="B79" s="156" t="s">
        <v>162</v>
      </c>
      <c r="C79" s="157" t="s">
        <v>255</v>
      </c>
      <c r="D79" s="157"/>
      <c r="E79" s="157"/>
      <c r="F79" s="158"/>
      <c r="G79" s="297">
        <v>11</v>
      </c>
      <c r="H79" s="243">
        <v>2875734</v>
      </c>
      <c r="I79" s="243"/>
      <c r="K79" s="243">
        <v>74778351</v>
      </c>
      <c r="L79" s="243"/>
      <c r="M79" s="243"/>
      <c r="N79" s="243"/>
      <c r="O79" s="269">
        <v>29254758</v>
      </c>
      <c r="P79" s="237">
        <f t="shared" si="45"/>
        <v>13386454.653610323</v>
      </c>
      <c r="Q79" s="269">
        <v>6967287</v>
      </c>
      <c r="R79" s="237">
        <f t="shared" si="45"/>
        <v>2905336.3079104293</v>
      </c>
      <c r="S79" s="269">
        <v>777389</v>
      </c>
      <c r="T79" s="237">
        <f t="shared" si="35"/>
        <v>2330302.757793765</v>
      </c>
      <c r="U79" s="269">
        <v>0</v>
      </c>
      <c r="V79" s="237">
        <f t="shared" si="36"/>
        <v>0</v>
      </c>
      <c r="W79" s="232">
        <f t="shared" si="43"/>
        <v>93400444.71931452</v>
      </c>
      <c r="X79" s="243">
        <v>2495795</v>
      </c>
      <c r="Y79" s="269">
        <v>2875734</v>
      </c>
      <c r="Z79" s="237">
        <f t="shared" si="47"/>
        <v>6670688.935281837</v>
      </c>
      <c r="AA79" s="269">
        <v>0</v>
      </c>
      <c r="AB79" s="237">
        <f t="shared" si="46"/>
        <v>0</v>
      </c>
      <c r="AC79" s="269">
        <v>5840336</v>
      </c>
      <c r="AD79" s="237">
        <f t="shared" si="38"/>
        <v>2835114.5631067962</v>
      </c>
      <c r="AE79" s="232">
        <f t="shared" si="39"/>
        <v>12001598.498388633</v>
      </c>
      <c r="AF79" s="240">
        <f t="shared" si="40"/>
        <v>105402043.21770315</v>
      </c>
      <c r="AG79" s="269">
        <v>18150</v>
      </c>
      <c r="AH79" s="241">
        <f t="shared" si="41"/>
        <v>8810.679611650485</v>
      </c>
      <c r="AI79" s="242">
        <f t="shared" si="42"/>
        <v>105410853.8973148</v>
      </c>
      <c r="AJ79" s="296">
        <v>-720987</v>
      </c>
      <c r="AK79" s="242">
        <f t="shared" si="44"/>
        <v>104689866.8973148</v>
      </c>
    </row>
    <row r="80" spans="2:37" ht="12.75">
      <c r="B80" s="156"/>
      <c r="C80" s="157" t="s">
        <v>256</v>
      </c>
      <c r="D80" s="157"/>
      <c r="E80" s="157"/>
      <c r="F80" s="158" t="s">
        <v>257</v>
      </c>
      <c r="G80" s="297">
        <v>12</v>
      </c>
      <c r="H80" s="243">
        <v>3797892</v>
      </c>
      <c r="I80" s="243"/>
      <c r="K80" s="243">
        <f>70523322-4185224</f>
        <v>66338098</v>
      </c>
      <c r="L80" s="243"/>
      <c r="M80" s="243"/>
      <c r="N80" s="243"/>
      <c r="O80" s="269">
        <v>93528579</v>
      </c>
      <c r="P80" s="237">
        <f t="shared" si="45"/>
        <v>42797006.95524847</v>
      </c>
      <c r="Q80" s="269">
        <v>14188201</v>
      </c>
      <c r="R80" s="237">
        <f t="shared" si="45"/>
        <v>5916434.260456195</v>
      </c>
      <c r="S80" s="269">
        <v>3684560</v>
      </c>
      <c r="T80" s="237">
        <f t="shared" si="35"/>
        <v>11044844.124700239</v>
      </c>
      <c r="U80" s="269">
        <v>2515236</v>
      </c>
      <c r="V80" s="237">
        <f t="shared" si="36"/>
        <v>7539676.258992805</v>
      </c>
      <c r="W80" s="232">
        <f t="shared" si="43"/>
        <v>133636059.5993977</v>
      </c>
      <c r="X80" s="243">
        <v>10362890</v>
      </c>
      <c r="Y80" s="269">
        <f>3497395</f>
        <v>3497395</v>
      </c>
      <c r="Z80" s="237">
        <f t="shared" si="47"/>
        <v>8112723.266063559</v>
      </c>
      <c r="AA80" s="269">
        <v>0</v>
      </c>
      <c r="AB80" s="237">
        <f t="shared" si="46"/>
        <v>0</v>
      </c>
      <c r="AC80" s="269">
        <v>9898271</v>
      </c>
      <c r="AD80" s="237">
        <f t="shared" si="38"/>
        <v>4804985.922330097</v>
      </c>
      <c r="AE80" s="232">
        <f t="shared" si="39"/>
        <v>23280599.188393656</v>
      </c>
      <c r="AF80" s="240">
        <f t="shared" si="40"/>
        <v>156916658.78779137</v>
      </c>
      <c r="AG80" s="269">
        <v>10809</v>
      </c>
      <c r="AH80" s="241">
        <f t="shared" si="41"/>
        <v>5247.0873786407765</v>
      </c>
      <c r="AI80" s="242">
        <f t="shared" si="42"/>
        <v>156921905.87517002</v>
      </c>
      <c r="AJ80" s="296"/>
      <c r="AK80" s="242">
        <f t="shared" si="44"/>
        <v>156921905.87517002</v>
      </c>
    </row>
    <row r="81" spans="2:37" ht="12.75">
      <c r="B81" s="156"/>
      <c r="C81" s="157" t="s">
        <v>258</v>
      </c>
      <c r="D81" s="157"/>
      <c r="E81" s="157"/>
      <c r="F81" s="158" t="s">
        <v>257</v>
      </c>
      <c r="G81" s="297">
        <v>13</v>
      </c>
      <c r="H81" s="243">
        <f>113993+237367</f>
        <v>351360</v>
      </c>
      <c r="I81" s="243"/>
      <c r="K81" s="243">
        <f>10384944+790130</f>
        <v>11175074</v>
      </c>
      <c r="L81" s="243"/>
      <c r="M81" s="243"/>
      <c r="N81" s="243"/>
      <c r="O81" s="269">
        <f>41600+3788100</f>
        <v>3829700</v>
      </c>
      <c r="P81" s="237">
        <f t="shared" si="45"/>
        <v>1752402.3062139654</v>
      </c>
      <c r="Q81" s="269">
        <f>464198+390076</f>
        <v>854274</v>
      </c>
      <c r="R81" s="237">
        <f t="shared" si="45"/>
        <v>356229.51503273426</v>
      </c>
      <c r="S81" s="269">
        <f>116998+768+599885</f>
        <v>717651</v>
      </c>
      <c r="T81" s="237">
        <f t="shared" si="35"/>
        <v>2151232.014388489</v>
      </c>
      <c r="U81" s="269">
        <f>1170+1697</f>
        <v>2867</v>
      </c>
      <c r="V81" s="237">
        <f t="shared" si="36"/>
        <v>8594.124700239809</v>
      </c>
      <c r="W81" s="232">
        <f t="shared" si="43"/>
        <v>15443531.960335428</v>
      </c>
      <c r="X81" s="243">
        <f>49224+334150</f>
        <v>383374</v>
      </c>
      <c r="Y81" s="269">
        <v>168760</v>
      </c>
      <c r="Z81" s="237">
        <f t="shared" si="47"/>
        <v>391463.69751797727</v>
      </c>
      <c r="AA81" s="269">
        <v>229982</v>
      </c>
      <c r="AB81" s="237">
        <f t="shared" si="46"/>
        <v>105235.6548000366</v>
      </c>
      <c r="AC81" s="269">
        <f>56696+1659841</f>
        <v>1716537</v>
      </c>
      <c r="AD81" s="237">
        <f t="shared" si="38"/>
        <v>833270.3883495146</v>
      </c>
      <c r="AE81" s="232">
        <f t="shared" si="39"/>
        <v>1713343.7406675287</v>
      </c>
      <c r="AF81" s="240">
        <f t="shared" si="40"/>
        <v>17156875.701002955</v>
      </c>
      <c r="AG81" s="269">
        <v>215293</v>
      </c>
      <c r="AH81" s="241">
        <f t="shared" si="41"/>
        <v>104511.16504854368</v>
      </c>
      <c r="AI81" s="242">
        <f t="shared" si="42"/>
        <v>17261386.8660515</v>
      </c>
      <c r="AJ81" s="296">
        <f>-3952749-4309+113471-175</f>
        <v>-3843762</v>
      </c>
      <c r="AK81" s="242">
        <f t="shared" si="44"/>
        <v>13417624.866051499</v>
      </c>
    </row>
    <row r="82" spans="2:37" ht="12.75">
      <c r="B82" s="156" t="s">
        <v>162</v>
      </c>
      <c r="C82" s="157" t="s">
        <v>259</v>
      </c>
      <c r="D82" s="157"/>
      <c r="E82" s="157"/>
      <c r="F82" s="158"/>
      <c r="G82" s="297">
        <v>14</v>
      </c>
      <c r="H82" s="243">
        <v>294019</v>
      </c>
      <c r="I82" s="243"/>
      <c r="K82" s="243">
        <v>14335513</v>
      </c>
      <c r="L82" s="243"/>
      <c r="M82" s="243"/>
      <c r="N82" s="243"/>
      <c r="O82" s="269">
        <v>8462714</v>
      </c>
      <c r="P82" s="237">
        <f t="shared" si="45"/>
        <v>3872386.7484213416</v>
      </c>
      <c r="Q82" s="269">
        <v>936839</v>
      </c>
      <c r="R82" s="237">
        <f t="shared" si="45"/>
        <v>390658.85492681706</v>
      </c>
      <c r="S82" s="269">
        <v>5489</v>
      </c>
      <c r="T82" s="237">
        <f t="shared" si="35"/>
        <v>16453.836930455636</v>
      </c>
      <c r="U82" s="269">
        <v>172260</v>
      </c>
      <c r="V82" s="237">
        <f t="shared" si="36"/>
        <v>516366.9064748201</v>
      </c>
      <c r="W82" s="232">
        <f t="shared" si="43"/>
        <v>19131379.346753433</v>
      </c>
      <c r="X82" s="243">
        <v>56027</v>
      </c>
      <c r="Y82" s="269">
        <f>291819+2200</f>
        <v>294019</v>
      </c>
      <c r="Z82" s="237">
        <f t="shared" si="47"/>
        <v>682020.4128972397</v>
      </c>
      <c r="AA82" s="269">
        <v>853000</v>
      </c>
      <c r="AB82" s="237">
        <f t="shared" si="46"/>
        <v>390317.56200237945</v>
      </c>
      <c r="AC82" s="269">
        <v>649813</v>
      </c>
      <c r="AD82" s="237">
        <f t="shared" si="38"/>
        <v>315443.2038834951</v>
      </c>
      <c r="AE82" s="232">
        <f t="shared" si="39"/>
        <v>1443808.1787831143</v>
      </c>
      <c r="AF82" s="240">
        <f t="shared" si="40"/>
        <v>20575187.52553655</v>
      </c>
      <c r="AG82" s="269">
        <v>56024</v>
      </c>
      <c r="AH82" s="241">
        <f t="shared" si="41"/>
        <v>27196.11650485437</v>
      </c>
      <c r="AI82" s="242">
        <f t="shared" si="42"/>
        <v>20602383.642041404</v>
      </c>
      <c r="AJ82" s="296"/>
      <c r="AK82" s="242">
        <f t="shared" si="44"/>
        <v>20602383.642041404</v>
      </c>
    </row>
    <row r="83" spans="2:37" ht="12.75">
      <c r="B83" s="156"/>
      <c r="C83" s="157" t="s">
        <v>260</v>
      </c>
      <c r="D83" s="157"/>
      <c r="E83" s="157"/>
      <c r="F83" s="158" t="s">
        <v>247</v>
      </c>
      <c r="G83" s="297">
        <v>15</v>
      </c>
      <c r="H83" s="243"/>
      <c r="I83" s="243"/>
      <c r="K83" s="243">
        <v>549605</v>
      </c>
      <c r="L83" s="243"/>
      <c r="M83" s="243"/>
      <c r="N83" s="243"/>
      <c r="O83" s="269"/>
      <c r="P83" s="237">
        <f t="shared" si="45"/>
        <v>0</v>
      </c>
      <c r="Q83" s="269"/>
      <c r="R83" s="237">
        <f t="shared" si="45"/>
        <v>0</v>
      </c>
      <c r="S83" s="269"/>
      <c r="T83" s="237">
        <f t="shared" si="35"/>
        <v>0</v>
      </c>
      <c r="U83" s="269"/>
      <c r="V83" s="237">
        <f t="shared" si="36"/>
        <v>0</v>
      </c>
      <c r="W83" s="232">
        <f t="shared" si="43"/>
        <v>549605</v>
      </c>
      <c r="X83" s="243"/>
      <c r="Y83" s="269"/>
      <c r="Z83" s="237">
        <f t="shared" si="47"/>
        <v>0</v>
      </c>
      <c r="AA83" s="269"/>
      <c r="AB83" s="237">
        <f t="shared" si="46"/>
        <v>0</v>
      </c>
      <c r="AC83" s="269"/>
      <c r="AD83" s="237">
        <f t="shared" si="38"/>
        <v>0</v>
      </c>
      <c r="AE83" s="232">
        <f t="shared" si="39"/>
        <v>0</v>
      </c>
      <c r="AF83" s="240">
        <f t="shared" si="40"/>
        <v>549605</v>
      </c>
      <c r="AG83" s="269">
        <v>0</v>
      </c>
      <c r="AH83" s="241">
        <f t="shared" si="41"/>
        <v>0</v>
      </c>
      <c r="AI83" s="242">
        <f t="shared" si="42"/>
        <v>549605</v>
      </c>
      <c r="AJ83" s="296"/>
      <c r="AK83" s="242">
        <f t="shared" si="44"/>
        <v>549605</v>
      </c>
    </row>
    <row r="84" spans="2:37" ht="12.75">
      <c r="B84" s="156"/>
      <c r="C84" s="157"/>
      <c r="D84" s="157"/>
      <c r="E84" s="157"/>
      <c r="F84" s="158"/>
      <c r="G84" s="297">
        <v>16</v>
      </c>
      <c r="H84" s="243"/>
      <c r="I84" s="243"/>
      <c r="K84" s="243"/>
      <c r="L84" s="243"/>
      <c r="M84" s="243"/>
      <c r="N84" s="243"/>
      <c r="O84" s="269"/>
      <c r="P84" s="237">
        <f t="shared" si="45"/>
        <v>0</v>
      </c>
      <c r="Q84" s="269"/>
      <c r="R84" s="237">
        <f t="shared" si="45"/>
        <v>0</v>
      </c>
      <c r="S84" s="269"/>
      <c r="T84" s="237">
        <f t="shared" si="35"/>
        <v>0</v>
      </c>
      <c r="U84" s="269"/>
      <c r="V84" s="237">
        <f t="shared" si="36"/>
        <v>0</v>
      </c>
      <c r="W84" s="232">
        <f t="shared" si="43"/>
        <v>0</v>
      </c>
      <c r="X84" s="243"/>
      <c r="Y84" s="269"/>
      <c r="Z84" s="237">
        <f t="shared" si="47"/>
        <v>0</v>
      </c>
      <c r="AA84" s="269"/>
      <c r="AB84" s="237">
        <f t="shared" si="46"/>
        <v>0</v>
      </c>
      <c r="AC84" s="269"/>
      <c r="AD84" s="237">
        <f t="shared" si="38"/>
        <v>0</v>
      </c>
      <c r="AE84" s="232">
        <f t="shared" si="39"/>
        <v>0</v>
      </c>
      <c r="AF84" s="240">
        <f t="shared" si="40"/>
        <v>0</v>
      </c>
      <c r="AG84" s="269"/>
      <c r="AH84" s="241">
        <f t="shared" si="41"/>
        <v>0</v>
      </c>
      <c r="AI84" s="242">
        <f t="shared" si="42"/>
        <v>0</v>
      </c>
      <c r="AJ84" s="296"/>
      <c r="AK84" s="242">
        <f t="shared" si="44"/>
        <v>0</v>
      </c>
    </row>
    <row r="85" spans="2:37" ht="12.75">
      <c r="B85" s="156"/>
      <c r="C85" s="157" t="s">
        <v>261</v>
      </c>
      <c r="D85" s="157"/>
      <c r="E85" s="157"/>
      <c r="F85" s="158" t="s">
        <v>262</v>
      </c>
      <c r="G85" s="297">
        <v>17</v>
      </c>
      <c r="H85" s="243"/>
      <c r="I85" s="243"/>
      <c r="K85" s="243"/>
      <c r="L85" s="243"/>
      <c r="M85" s="243"/>
      <c r="N85" s="243"/>
      <c r="O85" s="269">
        <v>0</v>
      </c>
      <c r="P85" s="237">
        <f t="shared" si="45"/>
        <v>0</v>
      </c>
      <c r="Q85" s="269"/>
      <c r="R85" s="237">
        <f t="shared" si="45"/>
        <v>0</v>
      </c>
      <c r="S85" s="269">
        <v>0</v>
      </c>
      <c r="T85" s="237">
        <f t="shared" si="35"/>
        <v>0</v>
      </c>
      <c r="U85" s="269"/>
      <c r="V85" s="237">
        <f t="shared" si="36"/>
        <v>0</v>
      </c>
      <c r="W85" s="232">
        <f t="shared" si="43"/>
        <v>0</v>
      </c>
      <c r="X85" s="243">
        <v>0</v>
      </c>
      <c r="Y85" s="269"/>
      <c r="Z85" s="237">
        <f t="shared" si="47"/>
        <v>0</v>
      </c>
      <c r="AA85" s="269"/>
      <c r="AB85" s="237">
        <f t="shared" si="46"/>
        <v>0</v>
      </c>
      <c r="AC85" s="269"/>
      <c r="AD85" s="237">
        <f t="shared" si="38"/>
        <v>0</v>
      </c>
      <c r="AE85" s="232">
        <f t="shared" si="39"/>
        <v>0</v>
      </c>
      <c r="AF85" s="240">
        <f t="shared" si="40"/>
        <v>0</v>
      </c>
      <c r="AG85" s="269">
        <v>0</v>
      </c>
      <c r="AH85" s="241">
        <f t="shared" si="41"/>
        <v>0</v>
      </c>
      <c r="AI85" s="242">
        <f t="shared" si="42"/>
        <v>0</v>
      </c>
      <c r="AJ85" s="296"/>
      <c r="AK85" s="242">
        <f t="shared" si="44"/>
        <v>0</v>
      </c>
    </row>
    <row r="86" spans="2:37" ht="12.75">
      <c r="B86" s="156" t="s">
        <v>162</v>
      </c>
      <c r="C86" s="157" t="s">
        <v>263</v>
      </c>
      <c r="D86" s="157"/>
      <c r="E86" s="157"/>
      <c r="F86" s="158" t="s">
        <v>225</v>
      </c>
      <c r="G86" s="297">
        <v>18</v>
      </c>
      <c r="H86" s="243"/>
      <c r="I86" s="243"/>
      <c r="K86" s="243"/>
      <c r="L86" s="243"/>
      <c r="M86" s="243"/>
      <c r="N86" s="243"/>
      <c r="O86" s="269"/>
      <c r="P86" s="237">
        <f t="shared" si="45"/>
        <v>0</v>
      </c>
      <c r="Q86" s="269"/>
      <c r="R86" s="237">
        <f t="shared" si="45"/>
        <v>0</v>
      </c>
      <c r="S86" s="269"/>
      <c r="T86" s="237">
        <f t="shared" si="35"/>
        <v>0</v>
      </c>
      <c r="U86" s="269"/>
      <c r="V86" s="237">
        <f t="shared" si="36"/>
        <v>0</v>
      </c>
      <c r="W86" s="232">
        <f t="shared" si="43"/>
        <v>0</v>
      </c>
      <c r="X86" s="243">
        <v>5800</v>
      </c>
      <c r="Y86" s="269"/>
      <c r="Z86" s="237">
        <f t="shared" si="47"/>
        <v>0</v>
      </c>
      <c r="AA86" s="269"/>
      <c r="AB86" s="237">
        <f t="shared" si="46"/>
        <v>0</v>
      </c>
      <c r="AC86" s="269"/>
      <c r="AD86" s="237">
        <f t="shared" si="38"/>
        <v>0</v>
      </c>
      <c r="AE86" s="232">
        <f t="shared" si="39"/>
        <v>5800</v>
      </c>
      <c r="AF86" s="240">
        <f t="shared" si="40"/>
        <v>5800</v>
      </c>
      <c r="AG86" s="269">
        <v>0</v>
      </c>
      <c r="AH86" s="241">
        <f t="shared" si="41"/>
        <v>0</v>
      </c>
      <c r="AI86" s="242">
        <f t="shared" si="42"/>
        <v>5800</v>
      </c>
      <c r="AJ86" s="296"/>
      <c r="AK86" s="242">
        <f t="shared" si="44"/>
        <v>5800</v>
      </c>
    </row>
    <row r="87" spans="2:37" ht="12.75">
      <c r="B87" s="156"/>
      <c r="C87" s="157" t="s">
        <v>264</v>
      </c>
      <c r="D87" s="157"/>
      <c r="E87" s="157"/>
      <c r="F87" s="158" t="str">
        <f>F86</f>
        <v>Sch 23</v>
      </c>
      <c r="G87" s="297">
        <v>19</v>
      </c>
      <c r="H87" s="243"/>
      <c r="I87" s="243"/>
      <c r="K87" s="243">
        <v>64745499</v>
      </c>
      <c r="L87" s="243">
        <v>713834</v>
      </c>
      <c r="M87" s="243">
        <v>253417</v>
      </c>
      <c r="N87" s="243"/>
      <c r="O87" s="269"/>
      <c r="P87" s="237">
        <f t="shared" si="45"/>
        <v>0</v>
      </c>
      <c r="Q87" s="269"/>
      <c r="R87" s="237">
        <f t="shared" si="45"/>
        <v>0</v>
      </c>
      <c r="S87" s="269">
        <v>595608</v>
      </c>
      <c r="T87" s="237">
        <f t="shared" si="35"/>
        <v>1785395.6834532374</v>
      </c>
      <c r="U87" s="269"/>
      <c r="V87" s="237">
        <f t="shared" si="36"/>
        <v>0</v>
      </c>
      <c r="W87" s="232">
        <f>+K87+P87+R87+T87+V87+L87+M87</f>
        <v>67498145.68345323</v>
      </c>
      <c r="X87" s="243"/>
      <c r="Y87" s="269">
        <v>487295</v>
      </c>
      <c r="Z87" s="237">
        <f t="shared" si="47"/>
        <v>1130352.586406866</v>
      </c>
      <c r="AA87" s="269">
        <v>0</v>
      </c>
      <c r="AB87" s="237">
        <f t="shared" si="46"/>
        <v>0</v>
      </c>
      <c r="AC87" s="269">
        <v>20034</v>
      </c>
      <c r="AD87" s="237">
        <f t="shared" si="38"/>
        <v>9725.242718446601</v>
      </c>
      <c r="AE87" s="232">
        <f t="shared" si="39"/>
        <v>1140077.8291253126</v>
      </c>
      <c r="AF87" s="240">
        <f t="shared" si="40"/>
        <v>68638223.51257855</v>
      </c>
      <c r="AG87" s="269">
        <v>0</v>
      </c>
      <c r="AH87" s="241">
        <v>0</v>
      </c>
      <c r="AI87" s="242">
        <f t="shared" si="42"/>
        <v>68638223.51257855</v>
      </c>
      <c r="AJ87" s="296">
        <v>-68638224</v>
      </c>
      <c r="AK87" s="242">
        <f t="shared" si="44"/>
        <v>-0.487421452999115</v>
      </c>
    </row>
    <row r="88" spans="2:37" ht="12.75">
      <c r="B88" s="156" t="s">
        <v>162</v>
      </c>
      <c r="C88" s="157" t="s">
        <v>44</v>
      </c>
      <c r="D88" s="157"/>
      <c r="E88" s="157"/>
      <c r="F88" s="158" t="str">
        <f>F87</f>
        <v>Sch 23</v>
      </c>
      <c r="G88" s="297">
        <v>20</v>
      </c>
      <c r="H88" s="243"/>
      <c r="I88" s="243"/>
      <c r="K88" s="243">
        <v>0</v>
      </c>
      <c r="L88" s="243"/>
      <c r="M88" s="243"/>
      <c r="N88" s="243"/>
      <c r="O88" s="269"/>
      <c r="P88" s="237">
        <f t="shared" si="45"/>
        <v>0</v>
      </c>
      <c r="Q88" s="269"/>
      <c r="R88" s="237">
        <f t="shared" si="45"/>
        <v>0</v>
      </c>
      <c r="S88" s="269"/>
      <c r="T88" s="237">
        <f t="shared" si="35"/>
        <v>0</v>
      </c>
      <c r="U88" s="269"/>
      <c r="V88" s="237">
        <f t="shared" si="36"/>
        <v>0</v>
      </c>
      <c r="W88" s="232">
        <f>+K88+P88+R88+T88+V88+L88+M88+N88</f>
        <v>0</v>
      </c>
      <c r="X88" s="243"/>
      <c r="Y88" s="269"/>
      <c r="Z88" s="237">
        <f t="shared" si="47"/>
        <v>0</v>
      </c>
      <c r="AA88" s="269"/>
      <c r="AB88" s="237">
        <f t="shared" si="46"/>
        <v>0</v>
      </c>
      <c r="AC88" s="269"/>
      <c r="AD88" s="237">
        <f t="shared" si="38"/>
        <v>0</v>
      </c>
      <c r="AE88" s="232">
        <f t="shared" si="39"/>
        <v>0</v>
      </c>
      <c r="AF88" s="240">
        <f t="shared" si="40"/>
        <v>0</v>
      </c>
      <c r="AG88" s="269">
        <v>697649</v>
      </c>
      <c r="AH88" s="241">
        <f t="shared" si="41"/>
        <v>338664.5631067961</v>
      </c>
      <c r="AI88" s="242">
        <f t="shared" si="42"/>
        <v>338664.5631067961</v>
      </c>
      <c r="AJ88" s="296"/>
      <c r="AK88" s="242">
        <f t="shared" si="44"/>
        <v>338664.5631067961</v>
      </c>
    </row>
    <row r="89" spans="2:37" ht="12.75">
      <c r="B89" s="156"/>
      <c r="C89" s="157" t="s">
        <v>265</v>
      </c>
      <c r="D89" s="157"/>
      <c r="E89" s="157"/>
      <c r="F89" s="158" t="s">
        <v>228</v>
      </c>
      <c r="G89" s="297">
        <v>21</v>
      </c>
      <c r="H89" s="243"/>
      <c r="I89" s="243"/>
      <c r="K89" s="243">
        <v>180054</v>
      </c>
      <c r="L89" s="243"/>
      <c r="M89" s="243"/>
      <c r="N89" s="243"/>
      <c r="O89" s="269"/>
      <c r="P89" s="237">
        <f t="shared" si="45"/>
        <v>0</v>
      </c>
      <c r="Q89" s="269"/>
      <c r="R89" s="237">
        <f t="shared" si="45"/>
        <v>0</v>
      </c>
      <c r="S89" s="269"/>
      <c r="T89" s="237">
        <f t="shared" si="35"/>
        <v>0</v>
      </c>
      <c r="U89" s="269"/>
      <c r="V89" s="237">
        <f t="shared" si="36"/>
        <v>0</v>
      </c>
      <c r="W89" s="232">
        <f>+K89+P89+R89+T89+V89</f>
        <v>180054</v>
      </c>
      <c r="X89" s="243"/>
      <c r="Y89" s="269"/>
      <c r="Z89" s="237">
        <f t="shared" si="47"/>
        <v>0</v>
      </c>
      <c r="AA89" s="269"/>
      <c r="AB89" s="237">
        <f t="shared" si="46"/>
        <v>0</v>
      </c>
      <c r="AC89" s="269"/>
      <c r="AD89" s="237">
        <f t="shared" si="38"/>
        <v>0</v>
      </c>
      <c r="AE89" s="232">
        <f t="shared" si="39"/>
        <v>0</v>
      </c>
      <c r="AF89" s="240">
        <f t="shared" si="40"/>
        <v>180054</v>
      </c>
      <c r="AG89" s="269">
        <v>0</v>
      </c>
      <c r="AH89" s="241">
        <f t="shared" si="41"/>
        <v>0</v>
      </c>
      <c r="AI89" s="242">
        <f t="shared" si="42"/>
        <v>180054</v>
      </c>
      <c r="AJ89" s="296"/>
      <c r="AK89" s="242">
        <f t="shared" si="44"/>
        <v>180054</v>
      </c>
    </row>
    <row r="90" spans="2:37" ht="12.75">
      <c r="B90" s="156"/>
      <c r="C90" s="157"/>
      <c r="D90" s="157"/>
      <c r="E90" s="157"/>
      <c r="F90" s="158"/>
      <c r="G90" s="297"/>
      <c r="H90" s="238"/>
      <c r="I90" s="238"/>
      <c r="K90" s="238"/>
      <c r="L90" s="238"/>
      <c r="M90" s="238"/>
      <c r="N90" s="238"/>
      <c r="O90" s="298"/>
      <c r="P90" s="237">
        <f t="shared" si="45"/>
        <v>0</v>
      </c>
      <c r="Q90" s="298"/>
      <c r="R90" s="237">
        <f t="shared" si="45"/>
        <v>0</v>
      </c>
      <c r="S90" s="298"/>
      <c r="T90" s="237">
        <f t="shared" si="35"/>
        <v>0</v>
      </c>
      <c r="U90" s="298"/>
      <c r="V90" s="237">
        <f t="shared" si="36"/>
        <v>0</v>
      </c>
      <c r="W90" s="232">
        <f>+K90+P90+R90+T90+V90</f>
        <v>0</v>
      </c>
      <c r="X90" s="238"/>
      <c r="Y90" s="298"/>
      <c r="Z90" s="237">
        <f t="shared" si="47"/>
        <v>0</v>
      </c>
      <c r="AA90" s="298"/>
      <c r="AB90" s="237">
        <f t="shared" si="46"/>
        <v>0</v>
      </c>
      <c r="AC90" s="298"/>
      <c r="AD90" s="237">
        <f t="shared" si="38"/>
        <v>0</v>
      </c>
      <c r="AE90" s="232">
        <f t="shared" si="39"/>
        <v>0</v>
      </c>
      <c r="AF90" s="240">
        <f t="shared" si="40"/>
        <v>0</v>
      </c>
      <c r="AG90" s="298"/>
      <c r="AH90" s="241">
        <f t="shared" si="41"/>
        <v>0</v>
      </c>
      <c r="AI90" s="242">
        <f>+AH90+AD90</f>
        <v>0</v>
      </c>
      <c r="AJ90" s="299"/>
      <c r="AK90" s="242">
        <f t="shared" si="44"/>
        <v>0</v>
      </c>
    </row>
    <row r="91" spans="2:37" ht="13.5" thickBot="1">
      <c r="B91" s="156" t="s">
        <v>162</v>
      </c>
      <c r="C91" s="157" t="s">
        <v>162</v>
      </c>
      <c r="D91" s="157"/>
      <c r="E91" s="157"/>
      <c r="F91" s="158"/>
      <c r="G91" s="297" t="s">
        <v>162</v>
      </c>
      <c r="H91" s="246"/>
      <c r="I91" s="246"/>
      <c r="K91" s="246"/>
      <c r="L91" s="246"/>
      <c r="M91" s="246"/>
      <c r="N91" s="246"/>
      <c r="O91" s="300"/>
      <c r="P91" s="237">
        <f>+O91/P$7</f>
        <v>0</v>
      </c>
      <c r="Q91" s="300"/>
      <c r="R91" s="237">
        <f>+Q91/R$7</f>
        <v>0</v>
      </c>
      <c r="S91" s="300"/>
      <c r="T91" s="237">
        <f t="shared" si="35"/>
        <v>0</v>
      </c>
      <c r="U91" s="300"/>
      <c r="V91" s="237">
        <f t="shared" si="36"/>
        <v>0</v>
      </c>
      <c r="W91" s="301"/>
      <c r="X91" s="246"/>
      <c r="Y91" s="300"/>
      <c r="Z91" s="237">
        <f t="shared" si="47"/>
        <v>0</v>
      </c>
      <c r="AA91" s="300"/>
      <c r="AB91" s="237">
        <f t="shared" si="46"/>
        <v>0</v>
      </c>
      <c r="AC91" s="300"/>
      <c r="AD91" s="237">
        <f t="shared" si="38"/>
        <v>0</v>
      </c>
      <c r="AE91" s="301"/>
      <c r="AF91" s="302"/>
      <c r="AG91" s="300"/>
      <c r="AH91" s="303">
        <f t="shared" si="41"/>
        <v>0</v>
      </c>
      <c r="AI91" s="304"/>
      <c r="AJ91" s="303"/>
      <c r="AK91" s="304"/>
    </row>
    <row r="92" spans="2:37" ht="19.5" customHeight="1" thickBot="1">
      <c r="B92" s="156"/>
      <c r="C92" s="157" t="s">
        <v>266</v>
      </c>
      <c r="E92" s="157"/>
      <c r="F92" s="158"/>
      <c r="G92" s="297">
        <v>22</v>
      </c>
      <c r="H92" s="246">
        <f>SUM(H78:H89)</f>
        <v>7319005</v>
      </c>
      <c r="I92" s="246"/>
      <c r="K92" s="246">
        <f aca="true" t="shared" si="48" ref="K92:AF92">SUM(K78:K89)</f>
        <v>232102194</v>
      </c>
      <c r="L92" s="246">
        <f>SUM(L78:L89)</f>
        <v>713834</v>
      </c>
      <c r="M92" s="246">
        <f>SUM(M78:M89)</f>
        <v>253417</v>
      </c>
      <c r="N92" s="246">
        <f>SUM(N78:N89)</f>
        <v>0</v>
      </c>
      <c r="O92" s="300">
        <f t="shared" si="48"/>
        <v>135075751</v>
      </c>
      <c r="P92" s="246">
        <f t="shared" si="48"/>
        <v>61808250.6634941</v>
      </c>
      <c r="Q92" s="300">
        <f t="shared" si="48"/>
        <v>22946601</v>
      </c>
      <c r="R92" s="246">
        <f>SUM(R78:R89)</f>
        <v>9568658.938326176</v>
      </c>
      <c r="S92" s="300">
        <f t="shared" si="48"/>
        <v>5780697</v>
      </c>
      <c r="T92" s="246">
        <f>SUM(T78:T89)</f>
        <v>17328228.417266186</v>
      </c>
      <c r="U92" s="300">
        <f t="shared" si="48"/>
        <v>2690363</v>
      </c>
      <c r="V92" s="246">
        <f>SUM(V78:V89)</f>
        <v>8064637.290167865</v>
      </c>
      <c r="W92" s="301">
        <f t="shared" si="48"/>
        <v>329839220.3092543</v>
      </c>
      <c r="X92" s="246">
        <f t="shared" si="48"/>
        <v>13303886</v>
      </c>
      <c r="Y92" s="300">
        <f t="shared" si="48"/>
        <v>7323203</v>
      </c>
      <c r="Z92" s="305">
        <f t="shared" si="48"/>
        <v>16987248.89816748</v>
      </c>
      <c r="AA92" s="300">
        <f>SUM(AA78:AA89)</f>
        <v>1082982</v>
      </c>
      <c r="AB92" s="246">
        <f>SUM(AB78:AB89)</f>
        <v>495553.216802416</v>
      </c>
      <c r="AC92" s="300">
        <f t="shared" si="48"/>
        <v>18124991</v>
      </c>
      <c r="AD92" s="246">
        <f>SUM(AD78:AD89)</f>
        <v>8798539.32038835</v>
      </c>
      <c r="AE92" s="301">
        <f>SUM(AE78:AE89)</f>
        <v>39585227.43535824</v>
      </c>
      <c r="AF92" s="302">
        <f t="shared" si="48"/>
        <v>369424447.7446126</v>
      </c>
      <c r="AG92" s="300">
        <f>SUM(AG79:AG89)</f>
        <v>997925</v>
      </c>
      <c r="AH92" s="306">
        <f>SUM(AH78:AH89)</f>
        <v>484429.6116504854</v>
      </c>
      <c r="AI92" s="304">
        <f>SUM(AI78:AI89)</f>
        <v>369908877.35626304</v>
      </c>
      <c r="AJ92" s="303">
        <f>SUM(AJ78:AJ89)</f>
        <v>-73202973</v>
      </c>
      <c r="AK92" s="304">
        <f>SUM(AK78:AK89)</f>
        <v>296705904.35626304</v>
      </c>
    </row>
    <row r="93" spans="2:37" ht="12.75">
      <c r="B93" s="156"/>
      <c r="C93" s="157"/>
      <c r="D93" s="157"/>
      <c r="E93" s="157"/>
      <c r="F93" s="158"/>
      <c r="G93" s="297" t="s">
        <v>162</v>
      </c>
      <c r="H93" s="243"/>
      <c r="I93" s="243"/>
      <c r="K93" s="243"/>
      <c r="L93" s="243"/>
      <c r="M93" s="243"/>
      <c r="N93" s="243"/>
      <c r="O93" s="269"/>
      <c r="P93" s="243"/>
      <c r="Q93" s="269"/>
      <c r="R93" s="243"/>
      <c r="S93" s="269"/>
      <c r="T93" s="243"/>
      <c r="U93" s="269"/>
      <c r="V93" s="243"/>
      <c r="W93" s="294"/>
      <c r="X93" s="243"/>
      <c r="Y93" s="269"/>
      <c r="Z93" s="243"/>
      <c r="AA93" s="269"/>
      <c r="AB93" s="243"/>
      <c r="AC93" s="269"/>
      <c r="AD93" s="243"/>
      <c r="AE93" s="294"/>
      <c r="AF93" s="295"/>
      <c r="AG93" s="269"/>
      <c r="AH93" s="296"/>
      <c r="AI93" s="250"/>
      <c r="AJ93" s="296"/>
      <c r="AK93" s="250"/>
    </row>
    <row r="94" spans="2:37" ht="13.5" thickBot="1">
      <c r="B94" s="156"/>
      <c r="C94" s="157"/>
      <c r="D94" s="157"/>
      <c r="E94" s="157"/>
      <c r="F94" s="158"/>
      <c r="G94" s="297"/>
      <c r="H94" s="246"/>
      <c r="I94" s="246"/>
      <c r="K94" s="246"/>
      <c r="L94" s="246"/>
      <c r="M94" s="246"/>
      <c r="N94" s="246"/>
      <c r="O94" s="300"/>
      <c r="P94" s="246"/>
      <c r="Q94" s="300"/>
      <c r="R94" s="246"/>
      <c r="S94" s="300"/>
      <c r="T94" s="246"/>
      <c r="U94" s="300"/>
      <c r="V94" s="246"/>
      <c r="W94" s="301"/>
      <c r="X94" s="246"/>
      <c r="Y94" s="300"/>
      <c r="Z94" s="246"/>
      <c r="AA94" s="300"/>
      <c r="AB94" s="246"/>
      <c r="AC94" s="300"/>
      <c r="AD94" s="246"/>
      <c r="AE94" s="301"/>
      <c r="AF94" s="302"/>
      <c r="AG94" s="300"/>
      <c r="AH94" s="303"/>
      <c r="AI94" s="304"/>
      <c r="AJ94" s="303"/>
      <c r="AK94" s="304"/>
    </row>
    <row r="95" spans="2:37" ht="20.25" customHeight="1" thickBot="1">
      <c r="B95" s="156" t="s">
        <v>162</v>
      </c>
      <c r="C95" s="157" t="s">
        <v>267</v>
      </c>
      <c r="D95" s="157"/>
      <c r="E95" s="157"/>
      <c r="F95" s="158"/>
      <c r="G95" s="297">
        <v>23</v>
      </c>
      <c r="H95" s="246">
        <f>+H59+H61+H63+H65+H67+H69+H71+H73+H92</f>
        <v>11445534</v>
      </c>
      <c r="I95" s="246"/>
      <c r="K95" s="246">
        <f aca="true" t="shared" si="49" ref="K95:X95">+K59+K61+K63+K65+K67+K69+K71+K73+K92</f>
        <v>372449689</v>
      </c>
      <c r="L95" s="246">
        <f t="shared" si="49"/>
        <v>713834</v>
      </c>
      <c r="M95" s="246">
        <f t="shared" si="49"/>
        <v>253417</v>
      </c>
      <c r="N95" s="246">
        <f t="shared" si="49"/>
        <v>0</v>
      </c>
      <c r="O95" s="300">
        <f t="shared" si="49"/>
        <v>168984848</v>
      </c>
      <c r="P95" s="246">
        <f t="shared" si="49"/>
        <v>77324447.69836186</v>
      </c>
      <c r="Q95" s="300">
        <f t="shared" si="49"/>
        <v>23833234</v>
      </c>
      <c r="R95" s="246">
        <f t="shared" si="49"/>
        <v>9938382.052458197</v>
      </c>
      <c r="S95" s="300">
        <f t="shared" si="49"/>
        <v>6229834</v>
      </c>
      <c r="T95" s="246">
        <f t="shared" si="49"/>
        <v>18674373.757793766</v>
      </c>
      <c r="U95" s="300">
        <f t="shared" si="49"/>
        <v>2690363</v>
      </c>
      <c r="V95" s="246">
        <f t="shared" si="49"/>
        <v>8064637.290167865</v>
      </c>
      <c r="W95" s="301">
        <f t="shared" si="49"/>
        <v>487418780.79878163</v>
      </c>
      <c r="X95" s="246">
        <f t="shared" si="49"/>
        <v>13578799</v>
      </c>
      <c r="Y95" s="305">
        <f>+Y59+Y61+Y63+Y65+Y67+Y69+Y71+Y73+Y92+Y75</f>
        <v>11687099</v>
      </c>
      <c r="Z95" s="305">
        <f>+Z59+Z61+Z63+Z65+Z67+Z69+Z71+Z73+Z92+Z75</f>
        <v>24774624.7671074</v>
      </c>
      <c r="AA95" s="300">
        <f>+AA59+AA61+AA63+AA65+AA67+AA69+AA71+AA73+AA92</f>
        <v>1082982</v>
      </c>
      <c r="AB95" s="246">
        <f>+AB59+AB61+AB63+AB65+AB67+AB69+AB71+AB73+AB92</f>
        <v>495553.216802416</v>
      </c>
      <c r="AC95" s="300">
        <f>+AC59+AC61+AC63+AC65+AC67+AC69+AC71+AC73+AC92</f>
        <v>18902355</v>
      </c>
      <c r="AD95" s="246">
        <f>+AD59+AD61+AD63+AD65+AD67+AD69+AD71+AD73+AD92</f>
        <v>9175900.485436894</v>
      </c>
      <c r="AE95" s="301">
        <f aca="true" t="shared" si="50" ref="AE95:AK95">+AE59+AE61+AE63+AE65+AE67+AE69+AE71+AE73+AE92+AE75</f>
        <v>48024877.46934671</v>
      </c>
      <c r="AF95" s="302">
        <f t="shared" si="50"/>
        <v>535443658.2681284</v>
      </c>
      <c r="AG95" s="300">
        <f t="shared" si="50"/>
        <v>7053708</v>
      </c>
      <c r="AH95" s="302">
        <f t="shared" si="50"/>
        <v>3424130.0970873786</v>
      </c>
      <c r="AI95" s="304">
        <f t="shared" si="50"/>
        <v>538867788.3652158</v>
      </c>
      <c r="AJ95" s="302">
        <f t="shared" si="50"/>
        <v>-149770263</v>
      </c>
      <c r="AK95" s="304">
        <f t="shared" si="50"/>
        <v>389097525.3652158</v>
      </c>
    </row>
    <row r="96" ht="12.75">
      <c r="AG96" s="199"/>
    </row>
    <row r="97" spans="1:37" s="308" customFormat="1" ht="12.75">
      <c r="A97" s="307"/>
      <c r="F97" s="309"/>
      <c r="G97" s="309"/>
      <c r="H97" s="310">
        <f>+H49-H95</f>
        <v>11792373.269562826</v>
      </c>
      <c r="I97" s="309"/>
      <c r="K97" s="310">
        <f aca="true" t="shared" si="51" ref="K97:AF97">+K49-K95</f>
        <v>0</v>
      </c>
      <c r="L97" s="310">
        <f t="shared" si="51"/>
        <v>0</v>
      </c>
      <c r="M97" s="310">
        <f t="shared" si="51"/>
        <v>0</v>
      </c>
      <c r="N97" s="310">
        <f t="shared" si="51"/>
        <v>0</v>
      </c>
      <c r="O97" s="311">
        <f t="shared" si="51"/>
        <v>0</v>
      </c>
      <c r="P97" s="310">
        <f t="shared" si="51"/>
        <v>0.27436624467372894</v>
      </c>
      <c r="Q97" s="311">
        <f t="shared" si="51"/>
        <v>0</v>
      </c>
      <c r="R97" s="310">
        <f t="shared" si="51"/>
        <v>0.24541523680090904</v>
      </c>
      <c r="S97" s="311">
        <f t="shared" si="51"/>
        <v>0</v>
      </c>
      <c r="T97" s="310">
        <f t="shared" si="51"/>
        <v>-0.1394127979874611</v>
      </c>
      <c r="U97" s="311">
        <f t="shared" si="51"/>
        <v>0</v>
      </c>
      <c r="V97" s="310">
        <f t="shared" si="51"/>
        <v>0.4261102173477411</v>
      </c>
      <c r="W97" s="312">
        <f t="shared" si="51"/>
        <v>0.8064789772033691</v>
      </c>
      <c r="X97" s="310">
        <f t="shared" si="51"/>
        <v>0</v>
      </c>
      <c r="Y97" s="311">
        <f t="shared" si="51"/>
        <v>0</v>
      </c>
      <c r="Z97" s="310">
        <f t="shared" si="51"/>
        <v>0.16523123160004616</v>
      </c>
      <c r="AA97" s="311">
        <f>+AA49-AA95</f>
        <v>0</v>
      </c>
      <c r="AB97" s="310">
        <f>+AB49-AB95</f>
        <v>0.783197583979927</v>
      </c>
      <c r="AC97" s="311">
        <f t="shared" si="51"/>
        <v>0</v>
      </c>
      <c r="AD97" s="310">
        <f t="shared" si="51"/>
        <v>-0.23591992817819118</v>
      </c>
      <c r="AE97" s="312">
        <f>+AE49-AE95</f>
        <v>0.7125088945031166</v>
      </c>
      <c r="AF97" s="313">
        <f t="shared" si="51"/>
        <v>1.518987774848938</v>
      </c>
      <c r="AG97" s="314" t="s">
        <v>162</v>
      </c>
      <c r="AH97" s="315">
        <f>+AH49-AH95</f>
        <v>-0.1777442959137261</v>
      </c>
      <c r="AI97" s="316">
        <f>+AI49-AI95</f>
        <v>1.3412435054779053</v>
      </c>
      <c r="AJ97" s="315">
        <f>+AJ49-AJ95</f>
        <v>0</v>
      </c>
      <c r="AK97" s="316">
        <f>+AK49-AK95</f>
        <v>1.3412435054779053</v>
      </c>
    </row>
    <row r="98" spans="6:37" s="198" customFormat="1" ht="12.75">
      <c r="F98" s="199"/>
      <c r="G98" s="199"/>
      <c r="H98" s="199"/>
      <c r="I98" s="199"/>
      <c r="K98" s="199">
        <f>+K97/2</f>
        <v>0</v>
      </c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200"/>
      <c r="AF98" s="201"/>
      <c r="AG98" s="199"/>
      <c r="AH98" s="202"/>
      <c r="AI98" s="203"/>
      <c r="AJ98" s="202"/>
      <c r="AK98" s="203"/>
    </row>
    <row r="99" spans="6:37" s="198" customFormat="1" ht="12.75">
      <c r="F99" s="199"/>
      <c r="G99" s="199"/>
      <c r="H99" s="199"/>
      <c r="I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200"/>
      <c r="AF99" s="201"/>
      <c r="AG99" s="199"/>
      <c r="AH99" s="202"/>
      <c r="AI99" s="203"/>
      <c r="AJ99" s="202"/>
      <c r="AK99" s="317"/>
    </row>
    <row r="100" spans="6:37" s="198" customFormat="1" ht="12.75">
      <c r="F100" s="199"/>
      <c r="G100" s="199"/>
      <c r="H100" s="199"/>
      <c r="I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200"/>
      <c r="AF100" s="201"/>
      <c r="AG100" s="199"/>
      <c r="AH100" s="202"/>
      <c r="AI100" s="203"/>
      <c r="AJ100" s="202"/>
      <c r="AK100" s="203"/>
    </row>
    <row r="101" spans="6:37" s="198" customFormat="1" ht="12.75">
      <c r="F101" s="199"/>
      <c r="G101" s="199"/>
      <c r="H101" s="199"/>
      <c r="I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200"/>
      <c r="AF101" s="201"/>
      <c r="AG101" s="199"/>
      <c r="AH101" s="202"/>
      <c r="AI101" s="203"/>
      <c r="AJ101" s="202"/>
      <c r="AK101" s="203"/>
    </row>
    <row r="102" spans="6:37" s="198" customFormat="1" ht="12.75">
      <c r="F102" s="199"/>
      <c r="G102" s="199"/>
      <c r="H102" s="199"/>
      <c r="I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200"/>
      <c r="AF102" s="201"/>
      <c r="AG102" s="199"/>
      <c r="AH102" s="202"/>
      <c r="AI102" s="203"/>
      <c r="AJ102" s="202"/>
      <c r="AK102" s="203"/>
    </row>
    <row r="103" spans="6:37" s="198" customFormat="1" ht="12.75">
      <c r="F103" s="199"/>
      <c r="G103" s="199"/>
      <c r="H103" s="199"/>
      <c r="I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200"/>
      <c r="AF103" s="201"/>
      <c r="AG103" s="199"/>
      <c r="AH103" s="202"/>
      <c r="AI103" s="203"/>
      <c r="AJ103" s="202"/>
      <c r="AK103" s="203"/>
    </row>
    <row r="104" spans="6:37" s="198" customFormat="1" ht="12.75">
      <c r="F104" s="199"/>
      <c r="G104" s="199"/>
      <c r="H104" s="199"/>
      <c r="I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200"/>
      <c r="AF104" s="201"/>
      <c r="AG104" s="199"/>
      <c r="AH104" s="202"/>
      <c r="AI104" s="203"/>
      <c r="AJ104" s="202"/>
      <c r="AK104" s="203"/>
    </row>
    <row r="105" spans="6:37" s="198" customFormat="1" ht="12.75">
      <c r="F105" s="199"/>
      <c r="G105" s="199"/>
      <c r="H105" s="199"/>
      <c r="I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200"/>
      <c r="AF105" s="201"/>
      <c r="AG105" s="199"/>
      <c r="AH105" s="202"/>
      <c r="AI105" s="203"/>
      <c r="AJ105" s="202"/>
      <c r="AK105" s="203"/>
    </row>
    <row r="106" spans="6:37" s="198" customFormat="1" ht="12.75">
      <c r="F106" s="199"/>
      <c r="G106" s="199"/>
      <c r="H106" s="199"/>
      <c r="I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200"/>
      <c r="AF106" s="201"/>
      <c r="AG106" s="199"/>
      <c r="AH106" s="202"/>
      <c r="AI106" s="203"/>
      <c r="AJ106" s="202"/>
      <c r="AK106" s="203"/>
    </row>
    <row r="107" ht="12.75">
      <c r="AG107" s="199"/>
    </row>
    <row r="108" ht="12.75">
      <c r="AG108" s="199"/>
    </row>
    <row r="109" ht="12.75">
      <c r="AG109" s="199"/>
    </row>
    <row r="110" ht="12.75">
      <c r="AG110" s="199"/>
    </row>
    <row r="111" ht="12.75">
      <c r="AG111" s="199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7"/>
  <sheetViews>
    <sheetView workbookViewId="0" topLeftCell="E9">
      <selection activeCell="A1" sqref="A1"/>
    </sheetView>
  </sheetViews>
  <sheetFormatPr defaultColWidth="8.88671875" defaultRowHeight="15"/>
  <cols>
    <col min="1" max="1" width="9.4453125" style="319" customWidth="1"/>
    <col min="2" max="2" width="21.6640625" style="319" customWidth="1"/>
    <col min="3" max="3" width="9.88671875" style="320" customWidth="1"/>
    <col min="4" max="4" width="4.77734375" style="320" customWidth="1"/>
    <col min="5" max="5" width="12.88671875" style="320" customWidth="1"/>
    <col min="6" max="6" width="12.77734375" style="320" customWidth="1"/>
    <col min="7" max="7" width="11.77734375" style="320" customWidth="1"/>
    <col min="8" max="8" width="12.21484375" style="320" customWidth="1"/>
    <col min="9" max="9" width="11.88671875" style="320" customWidth="1"/>
    <col min="10" max="10" width="15.10546875" style="320" customWidth="1"/>
    <col min="11" max="12" width="12.6640625" style="320" customWidth="1"/>
    <col min="13" max="16384" width="8.88671875" style="320" customWidth="1"/>
  </cols>
  <sheetData>
    <row r="2" spans="1:12" ht="12.75">
      <c r="A2" s="318" t="str">
        <f>+'[1]#Sch3'!B2</f>
        <v>GROUP/COMPANY : TAMCO CORPORATE HOLDINGS BERHAD</v>
      </c>
      <c r="L2" s="321" t="s">
        <v>273</v>
      </c>
    </row>
    <row r="3" ht="12.75">
      <c r="A3" s="318" t="str">
        <f>+'[1]#Sch3'!B3</f>
        <v>PLEASE SPECIFY THE CURRENCY USED:  RINGGIT MALAYSIA</v>
      </c>
    </row>
    <row r="4" ht="12.75">
      <c r="A4" s="318" t="s">
        <v>199</v>
      </c>
    </row>
    <row r="5" ht="12.75">
      <c r="A5" s="322" t="s">
        <v>274</v>
      </c>
    </row>
    <row r="6" spans="1:13" ht="12.75">
      <c r="A6" s="323"/>
      <c r="B6" s="324"/>
      <c r="C6" s="325"/>
      <c r="D6" s="325"/>
      <c r="E6" s="326" t="s">
        <v>275</v>
      </c>
      <c r="F6" s="327"/>
      <c r="G6" s="325"/>
      <c r="H6" s="328"/>
      <c r="I6" s="327" t="s">
        <v>276</v>
      </c>
      <c r="J6" s="325"/>
      <c r="K6" s="325"/>
      <c r="L6" s="329"/>
      <c r="M6" s="330" t="s">
        <v>112</v>
      </c>
    </row>
    <row r="7" spans="1:12" ht="12.75">
      <c r="A7" s="323"/>
      <c r="B7" s="324"/>
      <c r="C7" s="325"/>
      <c r="D7" s="325"/>
      <c r="E7" s="331" t="s">
        <v>277</v>
      </c>
      <c r="F7" s="332" t="s">
        <v>278</v>
      </c>
      <c r="G7" s="328" t="s">
        <v>279</v>
      </c>
      <c r="H7" s="328" t="s">
        <v>280</v>
      </c>
      <c r="I7" s="332" t="s">
        <v>281</v>
      </c>
      <c r="J7" s="328" t="s">
        <v>282</v>
      </c>
      <c r="K7" s="328" t="s">
        <v>283</v>
      </c>
      <c r="L7" s="328" t="s">
        <v>61</v>
      </c>
    </row>
    <row r="8" spans="1:12" ht="12.75">
      <c r="A8" s="323"/>
      <c r="B8" s="324"/>
      <c r="C8" s="329" t="s">
        <v>116</v>
      </c>
      <c r="D8" s="325" t="s">
        <v>123</v>
      </c>
      <c r="E8" s="331" t="s">
        <v>284</v>
      </c>
      <c r="F8" s="332" t="s">
        <v>31</v>
      </c>
      <c r="G8" s="328" t="s">
        <v>285</v>
      </c>
      <c r="H8" s="328" t="s">
        <v>286</v>
      </c>
      <c r="I8" s="332" t="s">
        <v>31</v>
      </c>
      <c r="J8" s="328" t="s">
        <v>287</v>
      </c>
      <c r="K8" s="328" t="s">
        <v>31</v>
      </c>
      <c r="L8" s="328"/>
    </row>
    <row r="9" spans="1:12" ht="12.75">
      <c r="A9" s="323"/>
      <c r="B9" s="324"/>
      <c r="C9" s="329" t="s">
        <v>122</v>
      </c>
      <c r="D9" s="325"/>
      <c r="E9" s="331"/>
      <c r="F9" s="332"/>
      <c r="G9" s="328" t="s">
        <v>31</v>
      </c>
      <c r="H9" s="328"/>
      <c r="I9" s="332"/>
      <c r="J9" s="328" t="s">
        <v>288</v>
      </c>
      <c r="K9" s="328"/>
      <c r="L9" s="328"/>
    </row>
    <row r="10" spans="1:12" ht="12.75">
      <c r="A10" s="323"/>
      <c r="B10" s="324"/>
      <c r="C10" s="329"/>
      <c r="D10" s="325"/>
      <c r="E10" s="329" t="str">
        <f>+'[1]#Sch3'!H7</f>
        <v>$</v>
      </c>
      <c r="F10" s="329" t="str">
        <f>+E10</f>
        <v>$</v>
      </c>
      <c r="G10" s="329" t="str">
        <f aca="true" t="shared" si="0" ref="G10:L10">+F10</f>
        <v>$</v>
      </c>
      <c r="H10" s="329" t="str">
        <f t="shared" si="0"/>
        <v>$</v>
      </c>
      <c r="I10" s="329" t="str">
        <f t="shared" si="0"/>
        <v>$</v>
      </c>
      <c r="J10" s="329" t="str">
        <f t="shared" si="0"/>
        <v>$</v>
      </c>
      <c r="K10" s="329" t="str">
        <f t="shared" si="0"/>
        <v>$</v>
      </c>
      <c r="L10" s="329" t="str">
        <f t="shared" si="0"/>
        <v>$</v>
      </c>
    </row>
    <row r="11" spans="1:13" ht="12.75">
      <c r="A11" s="323" t="s">
        <v>289</v>
      </c>
      <c r="B11" s="324"/>
      <c r="C11" s="329"/>
      <c r="D11" s="325">
        <v>1</v>
      </c>
      <c r="E11" s="331">
        <v>0</v>
      </c>
      <c r="F11" s="332"/>
      <c r="G11" s="328">
        <v>3996459</v>
      </c>
      <c r="H11" s="328" t="s">
        <v>162</v>
      </c>
      <c r="I11" s="332" t="s">
        <v>162</v>
      </c>
      <c r="J11" s="328">
        <f>+'[1]Sch 1'!G59</f>
        <v>-5301692.730437174</v>
      </c>
      <c r="K11" s="328"/>
      <c r="L11" s="328">
        <f>SUM(E11:K11)</f>
        <v>-1305233.7304371744</v>
      </c>
      <c r="M11" s="320" t="s">
        <v>162</v>
      </c>
    </row>
    <row r="12" spans="1:12" ht="12.75">
      <c r="A12" s="323"/>
      <c r="B12" s="324"/>
      <c r="C12" s="329"/>
      <c r="D12" s="325"/>
      <c r="E12" s="331" t="s">
        <v>162</v>
      </c>
      <c r="F12" s="332"/>
      <c r="G12" s="328" t="s">
        <v>162</v>
      </c>
      <c r="H12" s="328" t="s">
        <v>162</v>
      </c>
      <c r="I12" s="332"/>
      <c r="J12" s="328"/>
      <c r="K12" s="328"/>
      <c r="L12" s="328"/>
    </row>
    <row r="13" spans="1:12" ht="13.5" thickBot="1">
      <c r="A13" s="323" t="s">
        <v>290</v>
      </c>
      <c r="B13" s="324"/>
      <c r="C13" s="333" t="s">
        <v>161</v>
      </c>
      <c r="D13" s="325">
        <v>2</v>
      </c>
      <c r="E13" s="334"/>
      <c r="F13" s="335"/>
      <c r="G13" s="336"/>
      <c r="H13" s="336"/>
      <c r="I13" s="335"/>
      <c r="J13" s="336"/>
      <c r="K13" s="336"/>
      <c r="L13" s="336"/>
    </row>
    <row r="14" spans="1:12" ht="12.75">
      <c r="A14" s="323"/>
      <c r="B14" s="324"/>
      <c r="C14" s="329"/>
      <c r="D14" s="325"/>
      <c r="E14" s="337"/>
      <c r="F14" s="338"/>
      <c r="G14" s="339"/>
      <c r="H14" s="339"/>
      <c r="I14" s="338"/>
      <c r="J14" s="339"/>
      <c r="K14" s="339"/>
      <c r="L14" s="339"/>
    </row>
    <row r="15" spans="1:12" ht="12.75">
      <c r="A15" s="323" t="s">
        <v>160</v>
      </c>
      <c r="B15" s="324"/>
      <c r="C15" s="333" t="s">
        <v>161</v>
      </c>
      <c r="D15" s="325">
        <v>3</v>
      </c>
      <c r="E15" s="337"/>
      <c r="F15" s="338"/>
      <c r="G15" s="339"/>
      <c r="H15" s="339"/>
      <c r="I15" s="338"/>
      <c r="J15" s="339"/>
      <c r="K15" s="339"/>
      <c r="L15" s="339"/>
    </row>
    <row r="16" spans="1:12" ht="12.75">
      <c r="A16" s="323"/>
      <c r="B16" s="324"/>
      <c r="C16" s="329"/>
      <c r="D16" s="325"/>
      <c r="E16" s="337"/>
      <c r="F16" s="338"/>
      <c r="G16" s="339"/>
      <c r="H16" s="339"/>
      <c r="I16" s="338"/>
      <c r="J16" s="339"/>
      <c r="K16" s="339"/>
      <c r="L16" s="339"/>
    </row>
    <row r="17" spans="1:12" ht="12.75">
      <c r="A17" s="323" t="s">
        <v>291</v>
      </c>
      <c r="B17" s="324"/>
      <c r="C17" s="329"/>
      <c r="D17" s="325">
        <v>4</v>
      </c>
      <c r="E17" s="331" t="s">
        <v>162</v>
      </c>
      <c r="F17" s="332"/>
      <c r="G17" s="328"/>
      <c r="H17" s="328" t="s">
        <v>162</v>
      </c>
      <c r="I17" s="332"/>
      <c r="J17" s="328"/>
      <c r="K17" s="328"/>
      <c r="L17" s="328"/>
    </row>
    <row r="18" spans="1:12" ht="12.75">
      <c r="A18" s="323"/>
      <c r="B18" s="324"/>
      <c r="C18" s="329"/>
      <c r="D18" s="325"/>
      <c r="E18" s="331" t="s">
        <v>162</v>
      </c>
      <c r="F18" s="332"/>
      <c r="G18" s="328" t="s">
        <v>162</v>
      </c>
      <c r="H18" s="328" t="s">
        <v>162</v>
      </c>
      <c r="I18" s="332"/>
      <c r="J18" s="328"/>
      <c r="K18" s="328"/>
      <c r="L18" s="328" t="s">
        <v>162</v>
      </c>
    </row>
    <row r="19" spans="1:12" ht="12.75">
      <c r="A19" s="323" t="s">
        <v>292</v>
      </c>
      <c r="B19" s="324"/>
      <c r="C19" s="329"/>
      <c r="D19" s="325">
        <v>5</v>
      </c>
      <c r="E19" s="331" t="s">
        <v>162</v>
      </c>
      <c r="F19" s="332"/>
      <c r="G19" s="328"/>
      <c r="H19" s="328" t="s">
        <v>162</v>
      </c>
      <c r="I19" s="332"/>
      <c r="J19" s="328"/>
      <c r="K19" s="328"/>
      <c r="L19" s="328" t="s">
        <v>162</v>
      </c>
    </row>
    <row r="20" spans="1:12" ht="12.75">
      <c r="A20" s="323"/>
      <c r="B20" s="324"/>
      <c r="C20" s="329"/>
      <c r="D20" s="325"/>
      <c r="E20" s="340"/>
      <c r="F20" s="341"/>
      <c r="G20" s="342"/>
      <c r="H20" s="342"/>
      <c r="I20" s="341"/>
      <c r="J20" s="342"/>
      <c r="K20" s="342"/>
      <c r="L20" s="342"/>
    </row>
    <row r="21" spans="1:12" ht="12.75">
      <c r="A21" s="323" t="s">
        <v>73</v>
      </c>
      <c r="B21" s="324"/>
      <c r="C21" s="329"/>
      <c r="D21" s="325">
        <v>6</v>
      </c>
      <c r="E21" s="340"/>
      <c r="F21" s="341"/>
      <c r="G21" s="342">
        <f>3451654-3996459</f>
        <v>-544805</v>
      </c>
      <c r="H21" s="342"/>
      <c r="I21" s="341"/>
      <c r="J21" s="342"/>
      <c r="K21" s="342"/>
      <c r="L21" s="328">
        <f>SUM(E21:K21)</f>
        <v>-544805</v>
      </c>
    </row>
    <row r="22" spans="1:12" ht="12.75">
      <c r="A22" s="323"/>
      <c r="B22" s="324"/>
      <c r="C22" s="329"/>
      <c r="D22" s="325"/>
      <c r="E22" s="340"/>
      <c r="F22" s="341"/>
      <c r="G22" s="342"/>
      <c r="H22" s="342"/>
      <c r="I22" s="341"/>
      <c r="J22" s="342"/>
      <c r="K22" s="342"/>
      <c r="L22" s="342"/>
    </row>
    <row r="23" spans="1:12" ht="12.75">
      <c r="A23" s="323" t="s">
        <v>293</v>
      </c>
      <c r="B23" s="324"/>
      <c r="C23" s="329"/>
      <c r="D23" s="325">
        <v>7</v>
      </c>
      <c r="E23" s="340"/>
      <c r="F23" s="341"/>
      <c r="G23" s="342"/>
      <c r="H23" s="342"/>
      <c r="I23" s="341"/>
      <c r="J23" s="342"/>
      <c r="K23" s="342"/>
      <c r="L23" s="342"/>
    </row>
    <row r="24" spans="1:12" ht="13.5" thickBot="1">
      <c r="A24" s="323"/>
      <c r="B24" s="324"/>
      <c r="C24" s="329"/>
      <c r="D24" s="325"/>
      <c r="E24" s="334"/>
      <c r="F24" s="335"/>
      <c r="G24" s="336"/>
      <c r="H24" s="336"/>
      <c r="I24" s="335"/>
      <c r="J24" s="336"/>
      <c r="K24" s="336"/>
      <c r="L24" s="336"/>
    </row>
    <row r="25" spans="1:12" ht="12.75">
      <c r="A25" s="323" t="s">
        <v>294</v>
      </c>
      <c r="B25" s="324"/>
      <c r="C25" s="329"/>
      <c r="D25" s="325"/>
      <c r="E25" s="337"/>
      <c r="F25" s="338"/>
      <c r="G25" s="339"/>
      <c r="H25" s="339"/>
      <c r="I25" s="338"/>
      <c r="J25" s="339"/>
      <c r="K25" s="339"/>
      <c r="L25" s="339"/>
    </row>
    <row r="26" spans="1:12" ht="12.75">
      <c r="A26" s="323" t="s">
        <v>295</v>
      </c>
      <c r="B26" s="324"/>
      <c r="C26" s="329"/>
      <c r="D26" s="325">
        <v>8</v>
      </c>
      <c r="E26" s="331"/>
      <c r="F26" s="332"/>
      <c r="G26" s="328"/>
      <c r="H26" s="328"/>
      <c r="I26" s="332"/>
      <c r="J26" s="328"/>
      <c r="K26" s="328"/>
      <c r="L26" s="328"/>
    </row>
    <row r="27" spans="1:12" ht="12.75">
      <c r="A27" s="323"/>
      <c r="B27" s="324"/>
      <c r="C27" s="329"/>
      <c r="D27" s="325"/>
      <c r="E27" s="331"/>
      <c r="F27" s="332"/>
      <c r="G27" s="328"/>
      <c r="H27" s="328"/>
      <c r="I27" s="332"/>
      <c r="J27" s="328"/>
      <c r="K27" s="328"/>
      <c r="L27" s="328"/>
    </row>
    <row r="28" spans="1:12" ht="12.75">
      <c r="A28" s="323" t="s">
        <v>296</v>
      </c>
      <c r="B28" s="324"/>
      <c r="C28" s="333" t="s">
        <v>297</v>
      </c>
      <c r="D28" s="325">
        <v>9</v>
      </c>
      <c r="E28" s="331"/>
      <c r="F28" s="332"/>
      <c r="G28" s="328"/>
      <c r="H28" s="328"/>
      <c r="I28" s="332"/>
      <c r="J28" s="328">
        <f>+'[1]Sch 1 - Workings'!AJ57</f>
        <v>-5301692.730437174</v>
      </c>
      <c r="K28" s="328"/>
      <c r="L28" s="328">
        <f>SUM(E28:K28)</f>
        <v>-5301692.730437174</v>
      </c>
    </row>
    <row r="29" spans="1:12" ht="12.75">
      <c r="A29" s="323"/>
      <c r="B29" s="324"/>
      <c r="C29" s="329"/>
      <c r="D29" s="325"/>
      <c r="E29" s="331"/>
      <c r="F29" s="332"/>
      <c r="G29" s="328"/>
      <c r="H29" s="328"/>
      <c r="I29" s="332"/>
      <c r="J29" s="328"/>
      <c r="K29" s="328"/>
      <c r="L29" s="328"/>
    </row>
    <row r="30" spans="1:12" ht="12.75">
      <c r="A30" s="323" t="s">
        <v>298</v>
      </c>
      <c r="B30" s="324"/>
      <c r="C30" s="329"/>
      <c r="D30" s="325"/>
      <c r="E30" s="331"/>
      <c r="F30" s="332"/>
      <c r="G30" s="328"/>
      <c r="H30" s="328"/>
      <c r="I30" s="332"/>
      <c r="J30" s="328"/>
      <c r="K30" s="328"/>
      <c r="L30" s="328"/>
    </row>
    <row r="31" spans="1:12" ht="12.75">
      <c r="A31" s="343" t="s">
        <v>167</v>
      </c>
      <c r="B31" s="324"/>
      <c r="C31" s="329"/>
      <c r="D31" s="325">
        <v>10</v>
      </c>
      <c r="E31" s="331"/>
      <c r="F31" s="332"/>
      <c r="G31" s="328"/>
      <c r="H31" s="328"/>
      <c r="I31" s="332"/>
      <c r="J31" s="328"/>
      <c r="K31" s="328"/>
      <c r="L31" s="328"/>
    </row>
    <row r="32" spans="1:12" ht="12.75">
      <c r="A32" s="344" t="s">
        <v>168</v>
      </c>
      <c r="B32" s="324"/>
      <c r="C32" s="329"/>
      <c r="D32" s="325">
        <v>11</v>
      </c>
      <c r="E32" s="331"/>
      <c r="F32" s="332"/>
      <c r="G32" s="328"/>
      <c r="H32" s="328"/>
      <c r="I32" s="332"/>
      <c r="J32" s="328"/>
      <c r="K32" s="328"/>
      <c r="L32" s="328"/>
    </row>
    <row r="33" spans="1:12" ht="12.75">
      <c r="A33" s="323"/>
      <c r="B33" s="324"/>
      <c r="C33" s="329"/>
      <c r="D33" s="325"/>
      <c r="E33" s="331"/>
      <c r="F33" s="332"/>
      <c r="G33" s="328"/>
      <c r="H33" s="328"/>
      <c r="I33" s="332"/>
      <c r="J33" s="328"/>
      <c r="K33" s="328"/>
      <c r="L33" s="328"/>
    </row>
    <row r="34" spans="1:12" ht="12.75">
      <c r="A34" s="323" t="s">
        <v>299</v>
      </c>
      <c r="B34" s="324"/>
      <c r="C34" s="333" t="s">
        <v>300</v>
      </c>
      <c r="D34" s="325">
        <v>12</v>
      </c>
      <c r="E34" s="331"/>
      <c r="F34" s="332"/>
      <c r="G34" s="328"/>
      <c r="H34" s="328"/>
      <c r="I34" s="332"/>
      <c r="J34" s="328"/>
      <c r="K34" s="328"/>
      <c r="L34" s="328"/>
    </row>
    <row r="35" spans="1:12" ht="13.5" thickBot="1">
      <c r="A35" s="323"/>
      <c r="B35" s="324"/>
      <c r="C35" s="329"/>
      <c r="D35" s="325"/>
      <c r="E35" s="334"/>
      <c r="F35" s="335"/>
      <c r="G35" s="336"/>
      <c r="H35" s="336"/>
      <c r="I35" s="335"/>
      <c r="J35" s="336"/>
      <c r="K35" s="336"/>
      <c r="L35" s="336"/>
    </row>
    <row r="36" spans="1:12" ht="13.5" thickBot="1">
      <c r="A36" s="323" t="s">
        <v>301</v>
      </c>
      <c r="B36" s="324"/>
      <c r="C36" s="329" t="s">
        <v>162</v>
      </c>
      <c r="D36" s="325">
        <v>13</v>
      </c>
      <c r="E36" s="345">
        <f aca="true" t="shared" si="1" ref="E36:L36">SUM(E11:E34)</f>
        <v>0</v>
      </c>
      <c r="F36" s="345">
        <f t="shared" si="1"/>
        <v>0</v>
      </c>
      <c r="G36" s="345">
        <f t="shared" si="1"/>
        <v>3451654</v>
      </c>
      <c r="H36" s="345">
        <f t="shared" si="1"/>
        <v>0</v>
      </c>
      <c r="I36" s="345">
        <f t="shared" si="1"/>
        <v>0</v>
      </c>
      <c r="J36" s="345">
        <f t="shared" si="1"/>
        <v>-10603385.460874349</v>
      </c>
      <c r="K36" s="345">
        <f t="shared" si="1"/>
        <v>0</v>
      </c>
      <c r="L36" s="345">
        <f t="shared" si="1"/>
        <v>-7151731.460874349</v>
      </c>
    </row>
    <row r="37" spans="1:12" ht="13.5" thickTop="1">
      <c r="A37" s="323" t="s">
        <v>302</v>
      </c>
      <c r="B37" s="324"/>
      <c r="C37" s="329"/>
      <c r="D37" s="325"/>
      <c r="E37" s="331"/>
      <c r="F37" s="332"/>
      <c r="G37" s="328"/>
      <c r="H37" s="328"/>
      <c r="I37" s="332"/>
      <c r="J37" s="328"/>
      <c r="K37" s="328"/>
      <c r="L37" s="328"/>
    </row>
    <row r="38" spans="1:12" ht="12.75">
      <c r="A38" s="323"/>
      <c r="B38" s="324"/>
      <c r="C38" s="329"/>
      <c r="D38" s="325"/>
      <c r="E38" s="346" t="s">
        <v>303</v>
      </c>
      <c r="F38" s="347" t="s">
        <v>304</v>
      </c>
      <c r="G38" s="348" t="s">
        <v>305</v>
      </c>
      <c r="H38" s="348" t="s">
        <v>304</v>
      </c>
      <c r="I38" s="347" t="s">
        <v>306</v>
      </c>
      <c r="J38" s="348" t="s">
        <v>307</v>
      </c>
      <c r="K38" s="348" t="s">
        <v>308</v>
      </c>
      <c r="L38" s="348" t="s">
        <v>309</v>
      </c>
    </row>
    <row r="39" ht="12.75">
      <c r="J39" s="349" t="s">
        <v>310</v>
      </c>
    </row>
    <row r="40" spans="7:10" ht="12.75">
      <c r="G40" s="321" t="s">
        <v>311</v>
      </c>
      <c r="J40" s="320">
        <f>+J36-'[1]Sch 1 - Workings'!AJ73</f>
        <v>-27638517.730437174</v>
      </c>
    </row>
    <row r="41" spans="7:10" ht="12.75">
      <c r="G41" s="320" t="s">
        <v>312</v>
      </c>
      <c r="J41" s="320" t="str">
        <f>+J10</f>
        <v>$</v>
      </c>
    </row>
    <row r="42" ht="12.75">
      <c r="G42" s="320" t="s">
        <v>313</v>
      </c>
    </row>
    <row r="43" spans="7:10" ht="12.75">
      <c r="G43" s="320" t="s">
        <v>314</v>
      </c>
      <c r="J43" s="350"/>
    </row>
    <row r="44" spans="7:10" ht="12.75">
      <c r="G44" s="320" t="s">
        <v>315</v>
      </c>
      <c r="J44" s="325"/>
    </row>
    <row r="45" spans="7:10" ht="12.75">
      <c r="G45" s="320" t="s">
        <v>316</v>
      </c>
      <c r="J45" s="325"/>
    </row>
    <row r="46" ht="12.75">
      <c r="G46" s="320" t="s">
        <v>162</v>
      </c>
    </row>
    <row r="47" spans="7:10" ht="13.5" thickBot="1">
      <c r="G47" s="320" t="s">
        <v>317</v>
      </c>
      <c r="J47" s="351"/>
    </row>
    <row r="48" ht="13.5" thickTop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A1" sqref="A1"/>
    </sheetView>
  </sheetViews>
  <sheetFormatPr defaultColWidth="8.88671875" defaultRowHeight="15"/>
  <cols>
    <col min="1" max="1" width="3.5546875" style="141" customWidth="1"/>
    <col min="2" max="2" width="9.21484375" style="141" customWidth="1"/>
    <col min="3" max="3" width="8.88671875" style="141" customWidth="1"/>
    <col min="4" max="4" width="23.77734375" style="141" customWidth="1"/>
    <col min="5" max="5" width="2.99609375" style="425" customWidth="1"/>
    <col min="6" max="6" width="13.10546875" style="141" customWidth="1"/>
    <col min="7" max="7" width="3.88671875" style="141" customWidth="1"/>
    <col min="8" max="16384" width="8.88671875" style="141" customWidth="1"/>
  </cols>
  <sheetData>
    <row r="1" spans="1:7" ht="12.75">
      <c r="A1" s="142" t="str">
        <f>+'[1]#Sch3'!B2</f>
        <v>GROUP/COMPANY : TAMCO CORPORATE HOLDINGS BERHAD</v>
      </c>
      <c r="F1" s="352" t="s">
        <v>321</v>
      </c>
      <c r="G1" s="352"/>
    </row>
    <row r="2" ht="12.75">
      <c r="A2" s="142" t="str">
        <f>+'[1]#Sch3'!B3</f>
        <v>PLEASE SPECIFY THE CURRENCY USED:  RINGGIT MALAYSIA</v>
      </c>
    </row>
    <row r="3" ht="12.75">
      <c r="A3" s="147" t="s">
        <v>322</v>
      </c>
    </row>
    <row r="4" ht="12.75">
      <c r="A4" s="148" t="str">
        <f>+'[1]Sch 1'!B5</f>
        <v>FOR THE FINANCIAL PERIOD ENDED :  30 November 2004</v>
      </c>
    </row>
    <row r="6" spans="1:7" ht="12.75">
      <c r="A6" s="156"/>
      <c r="B6" s="157"/>
      <c r="C6" s="157"/>
      <c r="D6" s="157"/>
      <c r="E6" s="426"/>
      <c r="F6" s="428" t="str">
        <f>+'[1]#Sch3'!H7</f>
        <v>$</v>
      </c>
      <c r="G6" s="268"/>
    </row>
    <row r="7" spans="1:7" ht="12.75">
      <c r="A7" s="162"/>
      <c r="B7" s="163"/>
      <c r="C7" s="163"/>
      <c r="D7" s="163"/>
      <c r="F7" s="182"/>
      <c r="G7" s="174"/>
    </row>
    <row r="8" spans="1:7" ht="12.75">
      <c r="A8" s="353" t="s">
        <v>323</v>
      </c>
      <c r="B8" s="163"/>
      <c r="C8" s="163"/>
      <c r="D8" s="163"/>
      <c r="F8" s="182"/>
      <c r="G8" s="174"/>
    </row>
    <row r="9" spans="1:7" ht="12.75">
      <c r="A9" s="353"/>
      <c r="B9" s="163"/>
      <c r="C9" s="163"/>
      <c r="D9" s="163"/>
      <c r="F9" s="182"/>
      <c r="G9" s="174"/>
    </row>
    <row r="10" spans="1:7" ht="12.75">
      <c r="A10" s="353" t="s">
        <v>324</v>
      </c>
      <c r="B10" s="163"/>
      <c r="C10" s="163"/>
      <c r="D10" s="163"/>
      <c r="F10" s="182">
        <f>+'[1]Sch 1'!G44</f>
        <v>0</v>
      </c>
      <c r="G10" s="174"/>
    </row>
    <row r="11" spans="1:7" ht="12.75">
      <c r="A11" s="162"/>
      <c r="B11" s="163"/>
      <c r="C11" s="163"/>
      <c r="D11" s="163"/>
      <c r="F11" s="182"/>
      <c r="G11" s="174"/>
    </row>
    <row r="12" spans="1:7" ht="12.75">
      <c r="A12" s="353" t="s">
        <v>325</v>
      </c>
      <c r="B12" s="163"/>
      <c r="C12" s="163"/>
      <c r="D12" s="163"/>
      <c r="F12" s="182"/>
      <c r="G12" s="174"/>
    </row>
    <row r="13" spans="1:7" ht="12.75">
      <c r="A13" s="162"/>
      <c r="B13" s="163" t="s">
        <v>326</v>
      </c>
      <c r="C13" s="163"/>
      <c r="D13" s="163"/>
      <c r="F13" s="182"/>
      <c r="G13" s="174"/>
    </row>
    <row r="14" spans="1:7" ht="12.75">
      <c r="A14" s="162"/>
      <c r="B14" s="163" t="s">
        <v>327</v>
      </c>
      <c r="C14" s="163"/>
      <c r="D14" s="163"/>
      <c r="F14" s="182">
        <v>1261401</v>
      </c>
      <c r="G14" s="174"/>
    </row>
    <row r="15" spans="1:7" ht="12.75">
      <c r="A15" s="162"/>
      <c r="B15" s="163" t="s">
        <v>328</v>
      </c>
      <c r="C15" s="163"/>
      <c r="D15" s="163"/>
      <c r="F15" s="182"/>
      <c r="G15" s="174"/>
    </row>
    <row r="16" spans="1:7" ht="12.75">
      <c r="A16" s="162"/>
      <c r="B16" s="163" t="s">
        <v>329</v>
      </c>
      <c r="C16" s="163"/>
      <c r="D16" s="163"/>
      <c r="F16" s="182"/>
      <c r="G16" s="174"/>
    </row>
    <row r="17" spans="1:7" ht="12.75">
      <c r="A17" s="162"/>
      <c r="B17" s="163" t="s">
        <v>330</v>
      </c>
      <c r="C17" s="163"/>
      <c r="D17" s="163"/>
      <c r="F17" s="182">
        <v>3753594</v>
      </c>
      <c r="G17" s="174"/>
    </row>
    <row r="18" spans="1:7" ht="12.75">
      <c r="A18" s="162"/>
      <c r="B18" s="163" t="s">
        <v>331</v>
      </c>
      <c r="C18" s="163"/>
      <c r="D18" s="163"/>
      <c r="F18" s="182">
        <v>-139879</v>
      </c>
      <c r="G18" s="174"/>
    </row>
    <row r="19" spans="1:7" ht="12.75">
      <c r="A19" s="162"/>
      <c r="B19" s="163" t="s">
        <v>332</v>
      </c>
      <c r="C19" s="163"/>
      <c r="D19" s="163"/>
      <c r="F19" s="182"/>
      <c r="G19" s="174"/>
    </row>
    <row r="20" spans="1:7" ht="12.75">
      <c r="A20" s="162"/>
      <c r="B20" s="163" t="s">
        <v>333</v>
      </c>
      <c r="C20" s="163"/>
      <c r="D20" s="163"/>
      <c r="F20" s="182"/>
      <c r="G20" s="174"/>
    </row>
    <row r="21" spans="1:7" ht="12.75">
      <c r="A21" s="162"/>
      <c r="B21" s="163" t="s">
        <v>293</v>
      </c>
      <c r="C21" s="163"/>
      <c r="D21" s="163"/>
      <c r="F21" s="182"/>
      <c r="G21" s="174"/>
    </row>
    <row r="22" spans="1:7" ht="12.75">
      <c r="A22" s="162"/>
      <c r="B22" s="163"/>
      <c r="C22" s="163" t="s">
        <v>134</v>
      </c>
      <c r="D22" s="163"/>
      <c r="F22" s="182">
        <v>2796596</v>
      </c>
      <c r="G22" s="174"/>
    </row>
    <row r="23" spans="1:7" ht="12.75">
      <c r="A23" s="162"/>
      <c r="B23" s="163"/>
      <c r="C23" s="163" t="s">
        <v>58</v>
      </c>
      <c r="D23" s="163"/>
      <c r="F23" s="182">
        <v>234471</v>
      </c>
      <c r="G23" s="174"/>
    </row>
    <row r="24" spans="1:7" ht="12.75">
      <c r="A24" s="162"/>
      <c r="B24" s="163"/>
      <c r="C24" s="163" t="s">
        <v>334</v>
      </c>
      <c r="D24" s="163"/>
      <c r="F24" s="182">
        <v>78546</v>
      </c>
      <c r="G24" s="174"/>
    </row>
    <row r="25" spans="1:7" ht="12.75">
      <c r="A25" s="162"/>
      <c r="B25" s="163"/>
      <c r="C25" s="163" t="s">
        <v>335</v>
      </c>
      <c r="D25" s="163"/>
      <c r="F25" s="182">
        <v>1883</v>
      </c>
      <c r="G25" s="174"/>
    </row>
    <row r="26" spans="1:7" ht="12.75">
      <c r="A26" s="162"/>
      <c r="B26" s="163"/>
      <c r="C26" s="163" t="s">
        <v>138</v>
      </c>
      <c r="D26" s="163"/>
      <c r="F26" s="182">
        <v>657000</v>
      </c>
      <c r="G26" s="174"/>
    </row>
    <row r="27" spans="1:7" ht="12.75">
      <c r="A27" s="162"/>
      <c r="B27" s="163"/>
      <c r="C27" s="163" t="s">
        <v>336</v>
      </c>
      <c r="D27" s="163"/>
      <c r="F27" s="182">
        <v>72018</v>
      </c>
      <c r="G27" s="174"/>
    </row>
    <row r="28" spans="1:7" ht="12.75">
      <c r="A28" s="162"/>
      <c r="B28" s="163"/>
      <c r="C28" s="163"/>
      <c r="D28" s="163"/>
      <c r="F28" s="182"/>
      <c r="G28" s="174"/>
    </row>
    <row r="29" spans="1:7" ht="12.75">
      <c r="A29" s="162"/>
      <c r="B29" s="163"/>
      <c r="C29" s="163"/>
      <c r="D29" s="163"/>
      <c r="F29" s="182"/>
      <c r="G29" s="174"/>
    </row>
    <row r="30" spans="1:7" ht="12.75">
      <c r="A30" s="194" t="s">
        <v>337</v>
      </c>
      <c r="B30" s="163"/>
      <c r="C30" s="163"/>
      <c r="D30" s="163"/>
      <c r="F30" s="354">
        <f>SUM(F10:F29)</f>
        <v>8715630</v>
      </c>
      <c r="G30" s="174"/>
    </row>
    <row r="31" spans="1:7" ht="12.75">
      <c r="A31" s="162"/>
      <c r="B31" s="163"/>
      <c r="C31" s="163"/>
      <c r="D31" s="163"/>
      <c r="F31" s="182"/>
      <c r="G31" s="174"/>
    </row>
    <row r="32" spans="1:7" ht="12.75">
      <c r="A32" s="162"/>
      <c r="B32" s="163" t="s">
        <v>338</v>
      </c>
      <c r="C32" s="163"/>
      <c r="D32" s="163"/>
      <c r="F32" s="182">
        <f>-6008790-1156435</f>
        <v>-7165225</v>
      </c>
      <c r="G32" s="174"/>
    </row>
    <row r="33" spans="1:7" ht="12.75">
      <c r="A33" s="162"/>
      <c r="B33" s="355" t="s">
        <v>339</v>
      </c>
      <c r="C33" s="163"/>
      <c r="D33" s="163"/>
      <c r="F33" s="182"/>
      <c r="G33" s="174"/>
    </row>
    <row r="34" spans="1:7" ht="12.75">
      <c r="A34" s="162"/>
      <c r="B34" s="355" t="s">
        <v>340</v>
      </c>
      <c r="C34" s="163"/>
      <c r="D34" s="163"/>
      <c r="F34" s="182">
        <v>-17354304</v>
      </c>
      <c r="G34" s="174"/>
    </row>
    <row r="35" spans="1:7" ht="12.75">
      <c r="A35" s="162"/>
      <c r="B35" s="163" t="s">
        <v>341</v>
      </c>
      <c r="C35" s="163"/>
      <c r="D35" s="163"/>
      <c r="F35" s="182">
        <f>11254010+1972010</f>
        <v>13226020</v>
      </c>
      <c r="G35" s="174"/>
    </row>
    <row r="36" spans="1:7" ht="12.75">
      <c r="A36" s="162"/>
      <c r="B36" s="163" t="s">
        <v>293</v>
      </c>
      <c r="C36" s="163"/>
      <c r="D36" s="163"/>
      <c r="F36" s="182"/>
      <c r="G36" s="174"/>
    </row>
    <row r="37" spans="1:7" ht="12.75">
      <c r="A37" s="162"/>
      <c r="B37" s="163" t="s">
        <v>342</v>
      </c>
      <c r="C37" s="163"/>
      <c r="D37" s="163"/>
      <c r="F37" s="182">
        <f>471130+2570214</f>
        <v>3041344</v>
      </c>
      <c r="G37" s="174"/>
    </row>
    <row r="38" spans="1:7" ht="12.75">
      <c r="A38" s="162"/>
      <c r="B38" s="163"/>
      <c r="C38" s="163"/>
      <c r="D38" s="163"/>
      <c r="F38" s="182"/>
      <c r="G38" s="174"/>
    </row>
    <row r="39" spans="1:7" ht="12.75">
      <c r="A39" s="353" t="s">
        <v>343</v>
      </c>
      <c r="B39" s="163"/>
      <c r="C39" s="163"/>
      <c r="D39" s="163"/>
      <c r="F39" s="354">
        <f>SUM(F30:F37)</f>
        <v>463465</v>
      </c>
      <c r="G39" s="174"/>
    </row>
    <row r="40" spans="1:7" ht="12.75">
      <c r="A40" s="356"/>
      <c r="B40" s="163" t="s">
        <v>162</v>
      </c>
      <c r="C40" s="163"/>
      <c r="D40" s="163"/>
      <c r="F40" s="182"/>
      <c r="G40" s="174"/>
    </row>
    <row r="41" spans="1:7" ht="12.75">
      <c r="A41" s="162"/>
      <c r="B41" s="163" t="s">
        <v>19</v>
      </c>
      <c r="C41" s="163"/>
      <c r="D41" s="163"/>
      <c r="F41" s="182">
        <v>-3753594</v>
      </c>
      <c r="G41" s="174"/>
    </row>
    <row r="42" spans="1:7" ht="12.75">
      <c r="A42" s="162"/>
      <c r="B42" s="357" t="s">
        <v>344</v>
      </c>
      <c r="C42" s="163"/>
      <c r="D42" s="163"/>
      <c r="F42" s="182">
        <v>-2565932</v>
      </c>
      <c r="G42" s="174"/>
    </row>
    <row r="43" spans="1:7" ht="12.75">
      <c r="A43" s="162"/>
      <c r="B43" s="357" t="s">
        <v>293</v>
      </c>
      <c r="C43" s="163"/>
      <c r="D43" s="163"/>
      <c r="F43" s="182"/>
      <c r="G43" s="174"/>
    </row>
    <row r="44" spans="1:7" ht="12.75">
      <c r="A44" s="162"/>
      <c r="B44" s="357"/>
      <c r="C44" s="163" t="s">
        <v>345</v>
      </c>
      <c r="D44" s="163"/>
      <c r="F44" s="182">
        <v>139879</v>
      </c>
      <c r="G44" s="174"/>
    </row>
    <row r="45" spans="1:7" ht="12.75">
      <c r="A45" s="162"/>
      <c r="B45" s="357"/>
      <c r="C45" s="163" t="s">
        <v>346</v>
      </c>
      <c r="D45" s="163"/>
      <c r="F45" s="182">
        <v>-287203</v>
      </c>
      <c r="G45" s="174"/>
    </row>
    <row r="46" spans="1:7" ht="12.75">
      <c r="A46" s="162"/>
      <c r="B46" s="357"/>
      <c r="C46" s="163" t="s">
        <v>347</v>
      </c>
      <c r="D46" s="163"/>
      <c r="F46" s="182">
        <v>1399741</v>
      </c>
      <c r="G46" s="174"/>
    </row>
    <row r="47" spans="1:7" ht="12.75">
      <c r="A47" s="162"/>
      <c r="B47" s="357"/>
      <c r="C47" s="163" t="s">
        <v>348</v>
      </c>
      <c r="D47" s="163"/>
      <c r="F47" s="182">
        <v>-4152689</v>
      </c>
      <c r="G47" s="174"/>
    </row>
    <row r="48" spans="1:7" ht="12.75">
      <c r="A48" s="162"/>
      <c r="B48" s="357"/>
      <c r="C48" s="163"/>
      <c r="D48" s="163"/>
      <c r="F48" s="182"/>
      <c r="G48" s="174"/>
    </row>
    <row r="49" spans="1:7" ht="12.75">
      <c r="A49" s="162"/>
      <c r="B49" s="358" t="s">
        <v>162</v>
      </c>
      <c r="C49" s="163"/>
      <c r="D49" s="163"/>
      <c r="F49" s="182"/>
      <c r="G49" s="174"/>
    </row>
    <row r="50" spans="1:7" ht="13.5" thickBot="1">
      <c r="A50" s="194" t="s">
        <v>349</v>
      </c>
      <c r="B50" s="163"/>
      <c r="C50" s="163"/>
      <c r="D50" s="163"/>
      <c r="F50" s="421">
        <f>SUM(F39:F47)</f>
        <v>-8756333</v>
      </c>
      <c r="G50" s="174"/>
    </row>
    <row r="51" spans="1:7" ht="12.75">
      <c r="A51" s="162"/>
      <c r="B51" s="163"/>
      <c r="C51" s="163"/>
      <c r="D51" s="163"/>
      <c r="F51" s="182"/>
      <c r="G51" s="174"/>
    </row>
    <row r="52" spans="1:7" ht="12.75">
      <c r="A52" s="353" t="s">
        <v>350</v>
      </c>
      <c r="B52" s="163"/>
      <c r="C52" s="163"/>
      <c r="D52" s="163"/>
      <c r="F52" s="182"/>
      <c r="G52" s="174"/>
    </row>
    <row r="53" spans="1:7" ht="12.75">
      <c r="A53" s="162"/>
      <c r="B53" s="163" t="s">
        <v>351</v>
      </c>
      <c r="C53" s="163"/>
      <c r="D53" s="163"/>
      <c r="F53" s="182">
        <f>-7978104-24538</f>
        <v>-8002642</v>
      </c>
      <c r="G53" s="174"/>
    </row>
    <row r="54" spans="1:7" ht="12.75">
      <c r="A54" s="162"/>
      <c r="B54" s="163" t="s">
        <v>352</v>
      </c>
      <c r="C54" s="163"/>
      <c r="D54" s="163"/>
      <c r="F54" s="182">
        <v>-3141597</v>
      </c>
      <c r="G54" s="174"/>
    </row>
    <row r="55" spans="1:7" ht="12.75">
      <c r="A55" s="162"/>
      <c r="B55" s="163" t="s">
        <v>353</v>
      </c>
      <c r="C55" s="163"/>
      <c r="D55" s="163"/>
      <c r="F55" s="182"/>
      <c r="G55" s="174"/>
    </row>
    <row r="56" spans="1:7" ht="12.75">
      <c r="A56" s="162"/>
      <c r="B56" s="163" t="s">
        <v>354</v>
      </c>
      <c r="C56" s="163"/>
      <c r="D56" s="163"/>
      <c r="F56" s="182"/>
      <c r="G56" s="174"/>
    </row>
    <row r="57" spans="1:7" ht="12.75">
      <c r="A57" s="162"/>
      <c r="B57" s="163" t="s">
        <v>355</v>
      </c>
      <c r="C57" s="163"/>
      <c r="D57" s="163"/>
      <c r="F57" s="182">
        <v>131786</v>
      </c>
      <c r="G57" s="174"/>
    </row>
    <row r="58" spans="1:7" ht="12.75">
      <c r="A58" s="162"/>
      <c r="B58" s="163" t="s">
        <v>356</v>
      </c>
      <c r="C58" s="163"/>
      <c r="D58" s="163"/>
      <c r="F58" s="182"/>
      <c r="G58" s="174"/>
    </row>
    <row r="59" spans="1:7" ht="12.75">
      <c r="A59" s="162"/>
      <c r="B59" s="163" t="s">
        <v>357</v>
      </c>
      <c r="C59" s="163"/>
      <c r="D59" s="163"/>
      <c r="F59" s="182"/>
      <c r="G59" s="174"/>
    </row>
    <row r="60" spans="1:7" ht="12.75">
      <c r="A60" s="162"/>
      <c r="B60" s="163" t="s">
        <v>358</v>
      </c>
      <c r="C60" s="163"/>
      <c r="D60" s="163"/>
      <c r="F60" s="182"/>
      <c r="G60" s="174"/>
    </row>
    <row r="61" spans="1:7" ht="12.75">
      <c r="A61" s="162"/>
      <c r="B61" s="163"/>
      <c r="C61" s="163"/>
      <c r="D61" s="163"/>
      <c r="F61" s="422"/>
      <c r="G61" s="359"/>
    </row>
    <row r="62" spans="1:7" ht="12.75">
      <c r="A62" s="353" t="s">
        <v>359</v>
      </c>
      <c r="B62" s="163"/>
      <c r="C62" s="163"/>
      <c r="D62" s="163"/>
      <c r="F62" s="354">
        <f>SUM(F53:F61)</f>
        <v>-11012453</v>
      </c>
      <c r="G62" s="174"/>
    </row>
    <row r="63" spans="1:7" ht="12.75">
      <c r="A63" s="162"/>
      <c r="B63" s="163"/>
      <c r="C63" s="163"/>
      <c r="D63" s="163"/>
      <c r="F63" s="182"/>
      <c r="G63" s="174"/>
    </row>
    <row r="64" spans="1:7" ht="12.75">
      <c r="A64" s="194" t="s">
        <v>360</v>
      </c>
      <c r="B64" s="163"/>
      <c r="C64" s="163"/>
      <c r="D64" s="163"/>
      <c r="F64" s="182"/>
      <c r="G64" s="174"/>
    </row>
    <row r="65" spans="1:7" ht="12.75">
      <c r="A65" s="162"/>
      <c r="B65" s="355" t="s">
        <v>361</v>
      </c>
      <c r="C65" s="163"/>
      <c r="D65" s="163"/>
      <c r="F65" s="182"/>
      <c r="G65" s="174"/>
    </row>
    <row r="66" spans="1:7" ht="12.75">
      <c r="A66" s="162"/>
      <c r="B66" s="358" t="s">
        <v>362</v>
      </c>
      <c r="C66" s="163"/>
      <c r="D66" s="163"/>
      <c r="F66" s="182">
        <v>17500000</v>
      </c>
      <c r="G66" s="174"/>
    </row>
    <row r="67" spans="1:7" ht="12.75">
      <c r="A67" s="162"/>
      <c r="B67" s="355" t="s">
        <v>363</v>
      </c>
      <c r="C67" s="163"/>
      <c r="D67" s="163"/>
      <c r="F67" s="182"/>
      <c r="G67" s="174"/>
    </row>
    <row r="68" spans="1:7" ht="12.75">
      <c r="A68" s="162"/>
      <c r="B68" s="355" t="s">
        <v>364</v>
      </c>
      <c r="C68" s="163"/>
      <c r="D68" s="163"/>
      <c r="F68" s="182">
        <v>-10320352</v>
      </c>
      <c r="G68" s="174"/>
    </row>
    <row r="69" spans="1:7" ht="12.75">
      <c r="A69" s="162"/>
      <c r="B69" s="355" t="s">
        <v>365</v>
      </c>
      <c r="C69" s="163"/>
      <c r="D69" s="163"/>
      <c r="F69" s="182">
        <v>-407783</v>
      </c>
      <c r="G69" s="174"/>
    </row>
    <row r="70" spans="1:7" ht="12.75">
      <c r="A70" s="162"/>
      <c r="B70" s="358" t="s">
        <v>358</v>
      </c>
      <c r="C70" s="163"/>
      <c r="D70" s="163"/>
      <c r="F70" s="182"/>
      <c r="G70" s="174"/>
    </row>
    <row r="71" spans="1:7" ht="12.75">
      <c r="A71" s="162"/>
      <c r="B71" s="355"/>
      <c r="C71" s="163"/>
      <c r="D71" s="163"/>
      <c r="F71" s="182"/>
      <c r="G71" s="174"/>
    </row>
    <row r="72" spans="1:7" ht="12.75">
      <c r="A72" s="162"/>
      <c r="B72" s="163"/>
      <c r="C72" s="163"/>
      <c r="D72" s="163"/>
      <c r="F72" s="182"/>
      <c r="G72" s="174"/>
    </row>
    <row r="73" spans="1:7" ht="12.75">
      <c r="A73" s="353" t="s">
        <v>366</v>
      </c>
      <c r="B73" s="163"/>
      <c r="C73" s="163"/>
      <c r="D73" s="163"/>
      <c r="F73" s="354">
        <f>SUM(F66:F70)</f>
        <v>6771865</v>
      </c>
      <c r="G73" s="174"/>
    </row>
    <row r="74" spans="1:7" ht="13.5" thickBot="1">
      <c r="A74" s="162"/>
      <c r="B74" s="163"/>
      <c r="C74" s="163"/>
      <c r="D74" s="163"/>
      <c r="F74" s="360"/>
      <c r="G74" s="174"/>
    </row>
    <row r="75" spans="1:7" ht="12.75">
      <c r="A75" s="353" t="s">
        <v>367</v>
      </c>
      <c r="B75" s="163"/>
      <c r="C75" s="163"/>
      <c r="D75" s="163"/>
      <c r="F75" s="354">
        <f>+F50+F62+F73</f>
        <v>-12996921</v>
      </c>
      <c r="G75" s="174"/>
    </row>
    <row r="76" spans="1:7" ht="12.75">
      <c r="A76" s="162"/>
      <c r="B76" s="163"/>
      <c r="C76" s="163"/>
      <c r="D76" s="163"/>
      <c r="F76" s="182"/>
      <c r="G76" s="174"/>
    </row>
    <row r="77" spans="1:7" ht="12.75">
      <c r="A77" s="353" t="s">
        <v>368</v>
      </c>
      <c r="B77" s="163"/>
      <c r="C77" s="163"/>
      <c r="D77" s="163"/>
      <c r="F77" s="182">
        <f>29836811+2071395</f>
        <v>31908206</v>
      </c>
      <c r="G77" s="174"/>
    </row>
    <row r="78" spans="1:7" ht="13.5" thickBot="1">
      <c r="A78" s="162"/>
      <c r="B78" s="163"/>
      <c r="C78" s="163"/>
      <c r="D78" s="163"/>
      <c r="F78" s="360"/>
      <c r="G78" s="174"/>
    </row>
    <row r="79" spans="1:7" ht="13.5" thickBot="1">
      <c r="A79" s="194" t="s">
        <v>369</v>
      </c>
      <c r="B79" s="163"/>
      <c r="C79" s="163"/>
      <c r="D79" s="163"/>
      <c r="E79" s="427" t="s">
        <v>370</v>
      </c>
      <c r="F79" s="361">
        <f>SUM(F75:F77)</f>
        <v>18911285</v>
      </c>
      <c r="G79" s="362"/>
    </row>
    <row r="80" spans="1:7" ht="13.5" thickTop="1">
      <c r="A80" s="162"/>
      <c r="B80" s="163"/>
      <c r="C80" s="163"/>
      <c r="D80" s="163"/>
      <c r="F80" s="182"/>
      <c r="G80" s="174"/>
    </row>
    <row r="83" spans="1:6" ht="12.75">
      <c r="A83" s="142" t="str">
        <f>+A1</f>
        <v>GROUP/COMPANY : TAMCO CORPORATE HOLDINGS BERHAD</v>
      </c>
      <c r="F83" s="363" t="s">
        <v>371</v>
      </c>
    </row>
    <row r="84" ht="12.75">
      <c r="A84" s="142" t="str">
        <f>+A2</f>
        <v>PLEASE SPECIFY THE CURRENCY USED:  RINGGIT MALAYSIA</v>
      </c>
    </row>
    <row r="85" ht="12.75">
      <c r="A85" s="147" t="s">
        <v>372</v>
      </c>
    </row>
    <row r="86" ht="12.75">
      <c r="A86" s="148" t="str">
        <f>+A4</f>
        <v>FOR THE FINANCIAL PERIOD ENDED :  30 November 2004</v>
      </c>
    </row>
    <row r="88" spans="1:6" ht="12.75">
      <c r="A88" s="156"/>
      <c r="B88" s="157"/>
      <c r="C88" s="157"/>
      <c r="D88" s="157"/>
      <c r="E88" s="426" t="s">
        <v>123</v>
      </c>
      <c r="F88" s="412" t="s">
        <v>124</v>
      </c>
    </row>
    <row r="89" spans="1:6" ht="12.75">
      <c r="A89" s="162"/>
      <c r="B89" s="163"/>
      <c r="C89" s="163"/>
      <c r="D89" s="163"/>
      <c r="E89" s="426"/>
      <c r="F89" s="364"/>
    </row>
    <row r="90" spans="1:6" ht="12.75">
      <c r="A90" s="162"/>
      <c r="B90" s="163"/>
      <c r="C90" s="163"/>
      <c r="D90" s="163"/>
      <c r="F90" s="183"/>
    </row>
    <row r="91" spans="1:6" ht="12.75">
      <c r="A91" s="162" t="s">
        <v>373</v>
      </c>
      <c r="B91" s="163"/>
      <c r="C91" s="163"/>
      <c r="D91" s="163"/>
      <c r="F91" s="183"/>
    </row>
    <row r="92" spans="1:6" ht="12.75">
      <c r="A92" s="162"/>
      <c r="B92" s="163"/>
      <c r="C92" s="163"/>
      <c r="D92" s="163"/>
      <c r="F92" s="183"/>
    </row>
    <row r="93" spans="1:6" ht="12.75">
      <c r="A93" s="162"/>
      <c r="B93" s="163" t="s">
        <v>374</v>
      </c>
      <c r="C93" s="163"/>
      <c r="D93" s="163"/>
      <c r="E93" s="426">
        <v>1</v>
      </c>
      <c r="F93" s="183">
        <v>14335510</v>
      </c>
    </row>
    <row r="94" spans="1:6" ht="12.75">
      <c r="A94" s="162"/>
      <c r="B94" s="163"/>
      <c r="C94" s="163"/>
      <c r="D94" s="163"/>
      <c r="E94" s="426"/>
      <c r="F94" s="183"/>
    </row>
    <row r="95" spans="1:6" ht="12.75">
      <c r="A95" s="162"/>
      <c r="B95" s="163" t="s">
        <v>375</v>
      </c>
      <c r="C95" s="163"/>
      <c r="D95" s="163"/>
      <c r="E95" s="426">
        <v>2</v>
      </c>
      <c r="F95" s="183">
        <f>6816476-6049602</f>
        <v>766874</v>
      </c>
    </row>
    <row r="96" spans="1:6" ht="12.75">
      <c r="A96" s="162"/>
      <c r="B96" s="163" t="s">
        <v>376</v>
      </c>
      <c r="C96" s="163"/>
      <c r="D96" s="163"/>
      <c r="E96" s="426"/>
      <c r="F96" s="183"/>
    </row>
    <row r="97" spans="1:6" ht="12.75">
      <c r="A97" s="162"/>
      <c r="B97" s="357"/>
      <c r="C97" s="163"/>
      <c r="D97" s="163"/>
      <c r="E97" s="426"/>
      <c r="F97" s="183"/>
    </row>
    <row r="98" spans="1:6" ht="12.75">
      <c r="A98" s="162"/>
      <c r="B98" s="163" t="s">
        <v>377</v>
      </c>
      <c r="C98" s="163"/>
      <c r="D98" s="163"/>
      <c r="E98" s="426">
        <v>3</v>
      </c>
      <c r="F98" s="183"/>
    </row>
    <row r="99" spans="1:6" ht="13.5" thickBot="1">
      <c r="A99" s="156"/>
      <c r="B99" s="157"/>
      <c r="C99" s="157"/>
      <c r="D99" s="157"/>
      <c r="F99" s="423"/>
    </row>
    <row r="100" spans="1:6" ht="12.75">
      <c r="A100" s="162"/>
      <c r="B100" s="163"/>
      <c r="C100" s="163"/>
      <c r="D100" s="163"/>
      <c r="F100" s="184"/>
    </row>
    <row r="101" spans="1:6" ht="13.5" thickBot="1">
      <c r="A101" s="162"/>
      <c r="B101" s="163" t="s">
        <v>378</v>
      </c>
      <c r="C101" s="163"/>
      <c r="D101" s="163"/>
      <c r="E101" s="426">
        <v>4</v>
      </c>
      <c r="F101" s="424">
        <f>SUM(F93:F98)</f>
        <v>15102384</v>
      </c>
    </row>
    <row r="102" spans="1:6" ht="12.75">
      <c r="A102" s="162"/>
      <c r="B102" s="357"/>
      <c r="C102" s="163"/>
      <c r="D102" s="163"/>
      <c r="F102" s="184"/>
    </row>
    <row r="103" spans="1:7" ht="12.75">
      <c r="A103" s="174"/>
      <c r="B103" s="174"/>
      <c r="C103" s="174"/>
      <c r="D103" s="174"/>
      <c r="F103" s="174"/>
      <c r="G103" s="174"/>
    </row>
    <row r="104" spans="1:7" ht="12.75">
      <c r="A104" s="174"/>
      <c r="B104" s="174"/>
      <c r="C104" s="174"/>
      <c r="D104" s="174"/>
      <c r="F104" s="174"/>
      <c r="G104" s="174"/>
    </row>
    <row r="105" spans="1:7" ht="12.75">
      <c r="A105" s="174" t="s">
        <v>379</v>
      </c>
      <c r="B105" s="174"/>
      <c r="C105" s="174"/>
      <c r="D105" s="174"/>
      <c r="F105" s="174"/>
      <c r="G105" s="174"/>
    </row>
    <row r="106" spans="1:7" ht="12.75">
      <c r="A106" s="174"/>
      <c r="B106" s="174"/>
      <c r="C106" s="174"/>
      <c r="D106" s="174"/>
      <c r="F106" s="174"/>
      <c r="G106" s="174"/>
    </row>
    <row r="107" spans="1:7" ht="12.75">
      <c r="A107" s="174"/>
      <c r="B107" s="174"/>
      <c r="C107" s="174"/>
      <c r="D107" s="174"/>
      <c r="F107" s="174"/>
      <c r="G107" s="17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97"/>
  <sheetViews>
    <sheetView workbookViewId="0" topLeftCell="A5">
      <pane xSplit="1" ySplit="2" topLeftCell="V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8671875" defaultRowHeight="15"/>
  <cols>
    <col min="1" max="1" width="28.21484375" style="366" customWidth="1"/>
    <col min="2" max="4" width="11.5546875" style="366" bestFit="1" customWidth="1"/>
    <col min="5" max="5" width="10.99609375" style="366" bestFit="1" customWidth="1"/>
    <col min="6" max="6" width="11.5546875" style="366" bestFit="1" customWidth="1"/>
    <col min="7" max="7" width="5.88671875" style="366" bestFit="1" customWidth="1"/>
    <col min="8" max="8" width="10.5546875" style="366" bestFit="1" customWidth="1"/>
    <col min="9" max="9" width="11.5546875" style="366" bestFit="1" customWidth="1"/>
    <col min="10" max="10" width="10.99609375" style="366" bestFit="1" customWidth="1"/>
    <col min="11" max="11" width="10.5546875" style="366" bestFit="1" customWidth="1"/>
    <col min="12" max="13" width="11.5546875" style="366" bestFit="1" customWidth="1"/>
    <col min="14" max="14" width="5.10546875" style="366" bestFit="1" customWidth="1"/>
    <col min="15" max="15" width="10.5546875" style="366" bestFit="1" customWidth="1"/>
    <col min="16" max="16" width="11.5546875" style="366" bestFit="1" customWidth="1"/>
    <col min="17" max="17" width="5.10546875" style="366" bestFit="1" customWidth="1"/>
    <col min="18" max="18" width="10.5546875" style="366" bestFit="1" customWidth="1"/>
    <col min="19" max="19" width="11.99609375" style="366" bestFit="1" customWidth="1"/>
    <col min="20" max="20" width="5.88671875" style="366" bestFit="1" customWidth="1"/>
    <col min="21" max="21" width="10.5546875" style="366" bestFit="1" customWidth="1"/>
    <col min="22" max="22" width="11.99609375" style="366" bestFit="1" customWidth="1"/>
    <col min="23" max="23" width="8.4453125" style="366" bestFit="1" customWidth="1"/>
    <col min="24" max="16384" width="8.88671875" style="366" customWidth="1"/>
  </cols>
  <sheetData>
    <row r="1" ht="15.75">
      <c r="A1" s="365" t="s">
        <v>381</v>
      </c>
    </row>
    <row r="2" ht="15.75">
      <c r="A2" s="365" t="s">
        <v>382</v>
      </c>
    </row>
    <row r="3" ht="15.75">
      <c r="A3" s="365"/>
    </row>
    <row r="4" ht="16.5" thickBot="1">
      <c r="A4" s="365"/>
    </row>
    <row r="5" spans="1:22" ht="27" thickTop="1">
      <c r="A5" s="395"/>
      <c r="B5" s="396" t="s">
        <v>172</v>
      </c>
      <c r="C5" s="396" t="s">
        <v>176</v>
      </c>
      <c r="D5" s="396" t="s">
        <v>178</v>
      </c>
      <c r="E5" s="396" t="s">
        <v>177</v>
      </c>
      <c r="F5" s="397" t="s">
        <v>383</v>
      </c>
      <c r="G5" s="398"/>
      <c r="H5" s="396" t="s">
        <v>384</v>
      </c>
      <c r="I5" s="399" t="s">
        <v>385</v>
      </c>
      <c r="J5" s="400" t="s">
        <v>182</v>
      </c>
      <c r="K5" s="396" t="s">
        <v>386</v>
      </c>
      <c r="L5" s="396" t="s">
        <v>387</v>
      </c>
      <c r="M5" s="397" t="s">
        <v>388</v>
      </c>
      <c r="N5" s="396"/>
      <c r="O5" s="396" t="s">
        <v>384</v>
      </c>
      <c r="P5" s="399" t="s">
        <v>389</v>
      </c>
      <c r="Q5" s="401"/>
      <c r="R5" s="402"/>
      <c r="S5" s="403" t="s">
        <v>390</v>
      </c>
      <c r="T5" s="401"/>
      <c r="U5" s="404" t="s">
        <v>384</v>
      </c>
      <c r="V5" s="403" t="s">
        <v>390</v>
      </c>
    </row>
    <row r="6" spans="1:22" ht="15.75">
      <c r="A6" s="405" t="s">
        <v>391</v>
      </c>
      <c r="B6" s="406">
        <f>+'[2]CF-working2'!B4</f>
        <v>1</v>
      </c>
      <c r="C6" s="406">
        <f>'[2]Exch'!P10</f>
        <v>2.1854</v>
      </c>
      <c r="D6" s="406">
        <f>'[2]Exch'!P6</f>
        <v>0.3937</v>
      </c>
      <c r="E6" s="406">
        <f>'[2]Exch'!P9</f>
        <v>2.2681</v>
      </c>
      <c r="F6" s="406"/>
      <c r="G6" s="406"/>
      <c r="H6" s="406"/>
      <c r="I6" s="407"/>
      <c r="J6" s="408">
        <f>'[2]Exch'!P7</f>
        <v>0.4601</v>
      </c>
      <c r="K6" s="406">
        <f>+'[2]CF-working2'!G4</f>
        <v>1</v>
      </c>
      <c r="L6" s="406">
        <f>'[2]Exch'!P8</f>
        <v>2.06</v>
      </c>
      <c r="M6" s="405"/>
      <c r="N6" s="405"/>
      <c r="O6" s="405"/>
      <c r="P6" s="409"/>
      <c r="Q6" s="410"/>
      <c r="R6" s="405"/>
      <c r="S6" s="409"/>
      <c r="T6" s="410"/>
      <c r="U6" s="405"/>
      <c r="V6" s="409"/>
    </row>
    <row r="7" spans="1:22" ht="15.75">
      <c r="A7" s="369"/>
      <c r="B7" s="369"/>
      <c r="C7" s="369"/>
      <c r="D7" s="369"/>
      <c r="E7" s="369"/>
      <c r="F7" s="369"/>
      <c r="G7" s="369"/>
      <c r="H7" s="369"/>
      <c r="I7" s="370"/>
      <c r="J7" s="371"/>
      <c r="K7" s="369"/>
      <c r="L7" s="369"/>
      <c r="M7" s="369"/>
      <c r="N7" s="369"/>
      <c r="O7" s="369"/>
      <c r="P7" s="370"/>
      <c r="Q7" s="371"/>
      <c r="R7" s="372"/>
      <c r="S7" s="370"/>
      <c r="T7" s="371"/>
      <c r="U7" s="372"/>
      <c r="V7" s="370"/>
    </row>
    <row r="8" spans="1:22" ht="15.75">
      <c r="A8" s="369" t="s">
        <v>392</v>
      </c>
      <c r="B8" s="372">
        <f>B62/$B$6</f>
        <v>50135277</v>
      </c>
      <c r="C8" s="372">
        <f>C62/$C$6</f>
        <v>14921000.274549281</v>
      </c>
      <c r="D8" s="372">
        <f>D62/$D$6</f>
        <v>9182997.205994412</v>
      </c>
      <c r="E8" s="372">
        <f>E62/$E$6</f>
        <v>6046507.208676866</v>
      </c>
      <c r="F8" s="372">
        <f>SUM(B8:E8)</f>
        <v>80285781.68922056</v>
      </c>
      <c r="G8" s="373" t="s">
        <v>393</v>
      </c>
      <c r="H8" s="372">
        <f>-'[2]CJE'!D65</f>
        <v>-1968057</v>
      </c>
      <c r="I8" s="374">
        <f>F8+H8</f>
        <v>78317724.68922056</v>
      </c>
      <c r="J8" s="375">
        <f>J62/$J$6</f>
        <v>9621221.473592697</v>
      </c>
      <c r="K8" s="372">
        <f>K62/$K$6</f>
        <v>9463945</v>
      </c>
      <c r="L8" s="372">
        <f>L62/$L$6</f>
        <v>11161381.553398058</v>
      </c>
      <c r="M8" s="372">
        <f>SUM(J8:L8)</f>
        <v>30246548.026990756</v>
      </c>
      <c r="N8" s="373"/>
      <c r="O8" s="372"/>
      <c r="P8" s="374">
        <f>M8+O8</f>
        <v>30246548.026990756</v>
      </c>
      <c r="Q8" s="376"/>
      <c r="R8" s="372"/>
      <c r="S8" s="374">
        <f>+P8+I8</f>
        <v>108564272.71621132</v>
      </c>
      <c r="T8" s="376"/>
      <c r="U8" s="372"/>
      <c r="V8" s="374">
        <f>+M8+F8</f>
        <v>110532329.71621132</v>
      </c>
    </row>
    <row r="9" spans="1:22" ht="15.75">
      <c r="A9" s="369" t="s">
        <v>394</v>
      </c>
      <c r="B9" s="377">
        <f>B63/$B$6</f>
        <v>7882505</v>
      </c>
      <c r="C9" s="377">
        <f>C63/$C$6</f>
        <v>0</v>
      </c>
      <c r="D9" s="377">
        <f>D63/$D$6</f>
        <v>0</v>
      </c>
      <c r="E9" s="377">
        <f>E63/$E$6</f>
        <v>429286.1866760725</v>
      </c>
      <c r="F9" s="377">
        <f>SUM(B9:E9)</f>
        <v>8311791.186676073</v>
      </c>
      <c r="G9" s="373" t="s">
        <v>395</v>
      </c>
      <c r="H9" s="372">
        <f>-'[2]CJE'!E37</f>
        <v>-9864459</v>
      </c>
      <c r="I9" s="378">
        <f>F9+H9</f>
        <v>-1552667.813323927</v>
      </c>
      <c r="J9" s="379">
        <f>J63/$J$6</f>
        <v>0</v>
      </c>
      <c r="K9" s="377">
        <f>K63/$K$6</f>
        <v>0</v>
      </c>
      <c r="L9" s="377">
        <f>L63/$L$6</f>
        <v>0</v>
      </c>
      <c r="M9" s="377">
        <f>SUM(J9:L9)</f>
        <v>0</v>
      </c>
      <c r="N9" s="380"/>
      <c r="O9" s="377"/>
      <c r="P9" s="378">
        <f>M9+O9</f>
        <v>0</v>
      </c>
      <c r="Q9" s="376" t="s">
        <v>396</v>
      </c>
      <c r="R9" s="372">
        <f>-'[2]CJE'!E43</f>
        <v>-5918954</v>
      </c>
      <c r="S9" s="378">
        <f>+R9+I9</f>
        <v>-7471621.813323927</v>
      </c>
      <c r="T9" s="376" t="str">
        <f>+'[2]CJE'!AB168</f>
        <v>T1</v>
      </c>
      <c r="U9" s="372">
        <f>-'[2]CJE'!AB166</f>
        <v>-8311791.186676072</v>
      </c>
      <c r="V9" s="378">
        <f>+M9+F9+U9+U8</f>
        <v>9.313225746154785E-10</v>
      </c>
    </row>
    <row r="10" spans="1:22" ht="15.75">
      <c r="A10" s="369" t="s">
        <v>397</v>
      </c>
      <c r="B10" s="372">
        <f>SUM(B8:B9)</f>
        <v>58017782</v>
      </c>
      <c r="C10" s="372">
        <f aca="true" t="shared" si="0" ref="C10:S10">SUM(C8:C9)</f>
        <v>14921000.274549281</v>
      </c>
      <c r="D10" s="372">
        <f t="shared" si="0"/>
        <v>9182997.205994412</v>
      </c>
      <c r="E10" s="372">
        <f t="shared" si="0"/>
        <v>6475793.395352939</v>
      </c>
      <c r="F10" s="372">
        <f t="shared" si="0"/>
        <v>88597572.87589663</v>
      </c>
      <c r="G10" s="373"/>
      <c r="H10" s="372"/>
      <c r="I10" s="374">
        <f t="shared" si="0"/>
        <v>76765056.87589663</v>
      </c>
      <c r="J10" s="375">
        <f t="shared" si="0"/>
        <v>9621221.473592697</v>
      </c>
      <c r="K10" s="372">
        <f t="shared" si="0"/>
        <v>9463945</v>
      </c>
      <c r="L10" s="372">
        <f t="shared" si="0"/>
        <v>11161381.553398058</v>
      </c>
      <c r="M10" s="372">
        <f t="shared" si="0"/>
        <v>30246548.026990756</v>
      </c>
      <c r="N10" s="373"/>
      <c r="O10" s="372">
        <f t="shared" si="0"/>
        <v>0</v>
      </c>
      <c r="P10" s="374">
        <f t="shared" si="0"/>
        <v>30246548.026990756</v>
      </c>
      <c r="Q10" s="376"/>
      <c r="R10" s="372"/>
      <c r="S10" s="374">
        <f t="shared" si="0"/>
        <v>101092650.90288739</v>
      </c>
      <c r="T10" s="376"/>
      <c r="U10" s="372"/>
      <c r="V10" s="374">
        <f>SUM(V8:V9)</f>
        <v>110532329.71621132</v>
      </c>
    </row>
    <row r="11" spans="1:22" ht="15.75">
      <c r="A11" s="369"/>
      <c r="B11" s="372"/>
      <c r="C11" s="372"/>
      <c r="D11" s="372"/>
      <c r="E11" s="372"/>
      <c r="F11" s="372"/>
      <c r="G11" s="373"/>
      <c r="H11" s="372"/>
      <c r="I11" s="374"/>
      <c r="J11" s="375"/>
      <c r="K11" s="372"/>
      <c r="L11" s="372"/>
      <c r="M11" s="372"/>
      <c r="N11" s="373"/>
      <c r="O11" s="372"/>
      <c r="P11" s="374"/>
      <c r="Q11" s="376"/>
      <c r="R11" s="372"/>
      <c r="S11" s="374"/>
      <c r="T11" s="376"/>
      <c r="U11" s="372"/>
      <c r="V11" s="374"/>
    </row>
    <row r="12" spans="1:22" ht="15.75">
      <c r="A12" s="369" t="s">
        <v>398</v>
      </c>
      <c r="B12" s="372">
        <f>B66/$B$6</f>
        <v>-37910143</v>
      </c>
      <c r="C12" s="372">
        <f>C66/$C$6</f>
        <v>-9963511.485311612</v>
      </c>
      <c r="D12" s="372">
        <f>D66/$D$6</f>
        <v>-7596931.673863348</v>
      </c>
      <c r="E12" s="372">
        <f>E66/$E$6</f>
        <v>-3862100.8773863586</v>
      </c>
      <c r="F12" s="372">
        <f>SUM(B12:E12)</f>
        <v>-59332687.036561325</v>
      </c>
      <c r="G12" s="373" t="s">
        <v>395</v>
      </c>
      <c r="H12" s="372">
        <f>+'[2]CJE'!E37</f>
        <v>9864459</v>
      </c>
      <c r="I12" s="374">
        <f>F12+H12</f>
        <v>-49468228.036561325</v>
      </c>
      <c r="J12" s="375">
        <f>J66/$J$6</f>
        <v>-7285098.891545316</v>
      </c>
      <c r="K12" s="372">
        <f>K66/$K$6</f>
        <v>-7612079</v>
      </c>
      <c r="L12" s="372">
        <f>L66/$L$6</f>
        <v>-9443333.009708738</v>
      </c>
      <c r="M12" s="372">
        <f>SUM(J12:L12)</f>
        <v>-24340510.901254054</v>
      </c>
      <c r="N12" s="373"/>
      <c r="O12" s="372"/>
      <c r="P12" s="374">
        <f>M12+O12</f>
        <v>-24340510.901254054</v>
      </c>
      <c r="Q12" s="376" t="s">
        <v>396</v>
      </c>
      <c r="R12" s="372">
        <f>+'[2]CJE'!E43</f>
        <v>5918954</v>
      </c>
      <c r="S12" s="374">
        <f>+R12+P12+I12+R13</f>
        <v>-67776080.93781538</v>
      </c>
      <c r="T12" s="376" t="str">
        <f>+'[2]CJE'!AC168</f>
        <v>T2</v>
      </c>
      <c r="U12" s="372">
        <f>-'[2]CJE'!AC166</f>
        <v>8357282.452060688</v>
      </c>
      <c r="V12" s="374">
        <f>+M12+F12+U12+U13</f>
        <v>-75315915.4857547</v>
      </c>
    </row>
    <row r="13" spans="1:22" ht="15.75">
      <c r="A13" s="369"/>
      <c r="B13" s="372"/>
      <c r="C13" s="372"/>
      <c r="D13" s="372"/>
      <c r="E13" s="372"/>
      <c r="F13" s="372"/>
      <c r="G13" s="373"/>
      <c r="H13" s="372"/>
      <c r="I13" s="374"/>
      <c r="J13" s="375"/>
      <c r="K13" s="372"/>
      <c r="L13" s="372"/>
      <c r="M13" s="372"/>
      <c r="N13" s="373"/>
      <c r="O13" s="372"/>
      <c r="P13" s="374"/>
      <c r="Q13" s="376" t="s">
        <v>399</v>
      </c>
      <c r="R13" s="372">
        <f>-'[2]CJE'!D46</f>
        <v>113704</v>
      </c>
      <c r="S13" s="374"/>
      <c r="T13" s="376"/>
      <c r="U13" s="372"/>
      <c r="V13" s="374"/>
    </row>
    <row r="14" spans="1:22" ht="15.75">
      <c r="A14" s="369" t="s">
        <v>400</v>
      </c>
      <c r="B14" s="373">
        <f>B10+B12</f>
        <v>20107639</v>
      </c>
      <c r="C14" s="373">
        <f>C10+C12</f>
        <v>4957488.789237669</v>
      </c>
      <c r="D14" s="373">
        <f>D10+D12</f>
        <v>1586065.5321310647</v>
      </c>
      <c r="E14" s="373">
        <f>E10+E12</f>
        <v>2613692.5179665806</v>
      </c>
      <c r="F14" s="373">
        <f>F10+F12</f>
        <v>29264885.839335307</v>
      </c>
      <c r="G14" s="373"/>
      <c r="H14" s="372"/>
      <c r="I14" s="381">
        <f>I10+I12</f>
        <v>27296828.839335307</v>
      </c>
      <c r="J14" s="376">
        <f>J10+J12</f>
        <v>2336122.5820473805</v>
      </c>
      <c r="K14" s="373">
        <f>K10+K12</f>
        <v>1851866</v>
      </c>
      <c r="L14" s="373">
        <f>L10+L12</f>
        <v>1718048.5436893199</v>
      </c>
      <c r="M14" s="373">
        <f>M10+M12</f>
        <v>5906037.125736702</v>
      </c>
      <c r="N14" s="373"/>
      <c r="O14" s="372"/>
      <c r="P14" s="381">
        <f>P10+P12</f>
        <v>5906037.125736702</v>
      </c>
      <c r="Q14" s="376"/>
      <c r="R14" s="372"/>
      <c r="S14" s="381">
        <f>S10+S12</f>
        <v>33316569.965072006</v>
      </c>
      <c r="T14" s="376"/>
      <c r="U14" s="372"/>
      <c r="V14" s="381">
        <f>V10+V12</f>
        <v>35216414.23045662</v>
      </c>
    </row>
    <row r="15" spans="1:22" ht="15.75">
      <c r="A15" s="369"/>
      <c r="B15" s="372"/>
      <c r="C15" s="372"/>
      <c r="D15" s="372"/>
      <c r="E15" s="372"/>
      <c r="F15" s="372"/>
      <c r="G15" s="373"/>
      <c r="H15" s="372"/>
      <c r="I15" s="374"/>
      <c r="J15" s="375"/>
      <c r="K15" s="372"/>
      <c r="L15" s="372"/>
      <c r="M15" s="372"/>
      <c r="N15" s="373"/>
      <c r="O15" s="372"/>
      <c r="P15" s="374"/>
      <c r="Q15" s="376"/>
      <c r="R15" s="372"/>
      <c r="S15" s="374"/>
      <c r="T15" s="376"/>
      <c r="U15" s="372"/>
      <c r="V15" s="374"/>
    </row>
    <row r="16" spans="1:22" ht="15.75">
      <c r="A16" s="369" t="s">
        <v>401</v>
      </c>
      <c r="B16" s="372"/>
      <c r="C16" s="372"/>
      <c r="D16" s="372"/>
      <c r="E16" s="372"/>
      <c r="F16" s="372"/>
      <c r="G16" s="373"/>
      <c r="H16" s="372"/>
      <c r="I16" s="374"/>
      <c r="J16" s="375"/>
      <c r="K16" s="372"/>
      <c r="L16" s="372"/>
      <c r="M16" s="372"/>
      <c r="N16" s="373"/>
      <c r="O16" s="372"/>
      <c r="P16" s="374"/>
      <c r="Q16" s="376"/>
      <c r="R16" s="372"/>
      <c r="S16" s="374"/>
      <c r="T16" s="376"/>
      <c r="U16" s="372"/>
      <c r="V16" s="374"/>
    </row>
    <row r="17" spans="1:22" ht="15.75">
      <c r="A17" s="369"/>
      <c r="B17" s="372"/>
      <c r="C17" s="372"/>
      <c r="D17" s="372"/>
      <c r="E17" s="372"/>
      <c r="F17" s="372"/>
      <c r="G17" s="373"/>
      <c r="H17" s="372"/>
      <c r="I17" s="374"/>
      <c r="J17" s="375"/>
      <c r="K17" s="372"/>
      <c r="L17" s="372"/>
      <c r="M17" s="372"/>
      <c r="N17" s="373"/>
      <c r="O17" s="372"/>
      <c r="P17" s="374"/>
      <c r="Q17" s="376"/>
      <c r="R17" s="372"/>
      <c r="S17" s="374"/>
      <c r="T17" s="376"/>
      <c r="U17" s="372"/>
      <c r="V17" s="374"/>
    </row>
    <row r="18" spans="1:22" ht="15.75">
      <c r="A18" s="369" t="s">
        <v>402</v>
      </c>
      <c r="B18" s="372">
        <f>B72/$B$6</f>
        <v>-8561486</v>
      </c>
      <c r="C18" s="372">
        <f>C72/$C$6</f>
        <v>-1726869.680607669</v>
      </c>
      <c r="D18" s="372">
        <f>D72/$D$6</f>
        <v>-693609.3472186944</v>
      </c>
      <c r="E18" s="372">
        <f>E72/$E$6</f>
        <v>-1092309.4219831578</v>
      </c>
      <c r="F18" s="372">
        <f aca="true" t="shared" si="1" ref="F18:F28">SUM(B18:E18)</f>
        <v>-12074274.449809521</v>
      </c>
      <c r="G18" s="373" t="s">
        <v>393</v>
      </c>
      <c r="H18" s="372">
        <f>+'[2]CJE'!D65</f>
        <v>1968057</v>
      </c>
      <c r="I18" s="374">
        <f>F18+H18</f>
        <v>-10106217.449809521</v>
      </c>
      <c r="J18" s="375">
        <f>J72/$J$6</f>
        <v>0</v>
      </c>
      <c r="K18" s="372">
        <f>K72/$K$6</f>
        <v>0</v>
      </c>
      <c r="L18" s="372">
        <f>L72/$L$6</f>
        <v>0</v>
      </c>
      <c r="M18" s="372">
        <f aca="true" t="shared" si="2" ref="M18:M28">SUM(J18:L18)</f>
        <v>0</v>
      </c>
      <c r="N18" s="373"/>
      <c r="O18" s="372"/>
      <c r="P18" s="374">
        <f aca="true" t="shared" si="3" ref="P18:P28">M18+O18</f>
        <v>0</v>
      </c>
      <c r="Q18" s="376"/>
      <c r="R18" s="372"/>
      <c r="S18" s="374">
        <f aca="true" t="shared" si="4" ref="S18:S28">+R18+P18+I18</f>
        <v>-10106217.449809521</v>
      </c>
      <c r="T18" s="376"/>
      <c r="U18" s="372"/>
      <c r="V18" s="374">
        <f>+M18+F18+U18</f>
        <v>-12074274.449809521</v>
      </c>
    </row>
    <row r="19" spans="1:22" ht="15.75">
      <c r="A19" s="369" t="s">
        <v>403</v>
      </c>
      <c r="B19" s="372">
        <f>B73/$B$6</f>
        <v>-3022675</v>
      </c>
      <c r="C19" s="372">
        <f>C73/$C$6</f>
        <v>-2677035.782923035</v>
      </c>
      <c r="D19" s="372">
        <f>D73/$D$6</f>
        <v>-580060.9601219202</v>
      </c>
      <c r="E19" s="372">
        <f>E73/$E$6</f>
        <v>-379254.4420440016</v>
      </c>
      <c r="F19" s="372">
        <f t="shared" si="1"/>
        <v>-6659026.185088958</v>
      </c>
      <c r="G19" s="373"/>
      <c r="H19" s="372"/>
      <c r="I19" s="374">
        <f>F19+H19</f>
        <v>-6659026.185088958</v>
      </c>
      <c r="J19" s="375">
        <f>J73/$J$6</f>
        <v>-1311262.7689632687</v>
      </c>
      <c r="K19" s="372">
        <f>K73/$K$6</f>
        <v>-546017</v>
      </c>
      <c r="L19" s="372">
        <f>L73/$L$6</f>
        <v>-790596.1165048544</v>
      </c>
      <c r="M19" s="372">
        <f t="shared" si="2"/>
        <v>-2647875.885468123</v>
      </c>
      <c r="N19" s="373"/>
      <c r="O19" s="372"/>
      <c r="P19" s="374">
        <f t="shared" si="3"/>
        <v>-2647875.885468123</v>
      </c>
      <c r="Q19" s="376"/>
      <c r="R19" s="372"/>
      <c r="S19" s="374">
        <f t="shared" si="4"/>
        <v>-9306902.07055708</v>
      </c>
      <c r="T19" s="376"/>
      <c r="U19" s="372"/>
      <c r="V19" s="374">
        <f>+M19+F19</f>
        <v>-9306902.07055708</v>
      </c>
    </row>
    <row r="20" spans="1:22" ht="15.75">
      <c r="A20" s="369" t="s">
        <v>404</v>
      </c>
      <c r="B20" s="372">
        <f>B74/$B$6</f>
        <v>-1599988</v>
      </c>
      <c r="C20" s="372">
        <f>C74/$C$6</f>
        <v>-1005813.1234556603</v>
      </c>
      <c r="D20" s="372">
        <f>D74/$D$6</f>
        <v>-1870937.2618745237</v>
      </c>
      <c r="E20" s="372">
        <f>E74/$E$6</f>
        <v>-754671.7516864336</v>
      </c>
      <c r="F20" s="372">
        <f t="shared" si="1"/>
        <v>-5231410.137016618</v>
      </c>
      <c r="G20" s="373"/>
      <c r="H20" s="372"/>
      <c r="I20" s="374">
        <f aca="true" t="shared" si="5" ref="I20:I28">F20+H20</f>
        <v>-5231410.137016618</v>
      </c>
      <c r="J20" s="375">
        <f>J74/$J$6</f>
        <v>-372519.0176048685</v>
      </c>
      <c r="K20" s="372">
        <f>K74/$K$6</f>
        <v>-447153</v>
      </c>
      <c r="L20" s="372">
        <f>L74/$L$6</f>
        <v>-998103.3980582524</v>
      </c>
      <c r="M20" s="372">
        <f t="shared" si="2"/>
        <v>-1817775.4156631208</v>
      </c>
      <c r="N20" s="373"/>
      <c r="O20" s="372"/>
      <c r="P20" s="374">
        <f t="shared" si="3"/>
        <v>-1817775.4156631208</v>
      </c>
      <c r="Q20" s="376"/>
      <c r="R20" s="372"/>
      <c r="S20" s="374">
        <f t="shared" si="4"/>
        <v>-7049185.552679738</v>
      </c>
      <c r="T20" s="376" t="s">
        <v>405</v>
      </c>
      <c r="U20" s="372">
        <f>-'[2]CJE'!D157</f>
        <v>-90000</v>
      </c>
      <c r="V20" s="374">
        <f>+M20+F20+U20</f>
        <v>-7139185.552679738</v>
      </c>
    </row>
    <row r="21" spans="1:22" ht="15.75">
      <c r="A21" s="369" t="s">
        <v>406</v>
      </c>
      <c r="B21" s="372">
        <f>B75/$B$6</f>
        <v>-908402</v>
      </c>
      <c r="C21" s="372">
        <f>C75/$C$6</f>
        <v>-120528.04978493639</v>
      </c>
      <c r="D21" s="372">
        <f>D75/$D$6</f>
        <v>-789.9415798831598</v>
      </c>
      <c r="E21" s="372">
        <f>E75/$E$6</f>
        <v>-9932.542656849346</v>
      </c>
      <c r="F21" s="372">
        <f t="shared" si="1"/>
        <v>-1039652.5340216688</v>
      </c>
      <c r="G21" s="373"/>
      <c r="H21" s="372"/>
      <c r="I21" s="374">
        <f t="shared" si="5"/>
        <v>-1039652.5340216688</v>
      </c>
      <c r="J21" s="375">
        <f>J75/$J$6</f>
        <v>-328845.9030645512</v>
      </c>
      <c r="K21" s="372">
        <f>K75/$K$6</f>
        <v>-50962</v>
      </c>
      <c r="L21" s="372">
        <f>L75/$L$6</f>
        <v>-91983.00970873787</v>
      </c>
      <c r="M21" s="372">
        <f t="shared" si="2"/>
        <v>-471790.912773289</v>
      </c>
      <c r="N21" s="373"/>
      <c r="O21" s="372"/>
      <c r="P21" s="374">
        <f t="shared" si="3"/>
        <v>-471790.912773289</v>
      </c>
      <c r="Q21" s="376"/>
      <c r="R21" s="372"/>
      <c r="S21" s="374">
        <f t="shared" si="4"/>
        <v>-1511443.4467949579</v>
      </c>
      <c r="T21" s="376"/>
      <c r="U21" s="372"/>
      <c r="V21" s="374">
        <f>+M21+F21</f>
        <v>-1511443.4467949579</v>
      </c>
    </row>
    <row r="22" spans="1:22" ht="15.75">
      <c r="A22" s="369" t="s">
        <v>407</v>
      </c>
      <c r="B22" s="372">
        <f>B76/$B$6</f>
        <v>-1145679</v>
      </c>
      <c r="C22" s="372">
        <f>C76/$C$6</f>
        <v>-389907.56840852933</v>
      </c>
      <c r="D22" s="372">
        <f>D76/$D$6</f>
        <v>656893.5737871475</v>
      </c>
      <c r="E22" s="372">
        <f>E76/$E$6</f>
        <v>-73566.42123363167</v>
      </c>
      <c r="F22" s="372">
        <f t="shared" si="1"/>
        <v>-952259.4158550134</v>
      </c>
      <c r="G22" s="373" t="s">
        <v>408</v>
      </c>
      <c r="H22" s="372">
        <f>-'[2]CJE'!D13</f>
        <v>-501948</v>
      </c>
      <c r="I22" s="374">
        <f>F22+H22+H23</f>
        <v>547480.5841449867</v>
      </c>
      <c r="J22" s="375">
        <f>J76/$J$6</f>
        <v>-381973.4840252119</v>
      </c>
      <c r="K22" s="372">
        <f>K76/$K$6</f>
        <v>-140000</v>
      </c>
      <c r="L22" s="372">
        <f>L76/$L$6</f>
        <v>-143300</v>
      </c>
      <c r="M22" s="372">
        <f t="shared" si="2"/>
        <v>-665273.4840252119</v>
      </c>
      <c r="N22" s="373"/>
      <c r="O22" s="372"/>
      <c r="P22" s="374">
        <f t="shared" si="3"/>
        <v>-665273.4840252119</v>
      </c>
      <c r="Q22" s="376"/>
      <c r="R22" s="372"/>
      <c r="S22" s="374">
        <f t="shared" si="4"/>
        <v>-117792.89988022519</v>
      </c>
      <c r="T22" s="376" t="s">
        <v>409</v>
      </c>
      <c r="U22" s="372">
        <f>+'[2]CJE'!E149+'[2]CJE'!E150</f>
        <v>528554.89</v>
      </c>
      <c r="V22" s="374">
        <f>+M22+F22+U22+U23+U24</f>
        <v>-1745978.0098802252</v>
      </c>
    </row>
    <row r="23" spans="1:22" ht="15.75">
      <c r="A23" s="369"/>
      <c r="B23" s="372"/>
      <c r="C23" s="372"/>
      <c r="D23" s="372"/>
      <c r="E23" s="372"/>
      <c r="F23" s="372"/>
      <c r="G23" s="373" t="s">
        <v>410</v>
      </c>
      <c r="H23" s="372">
        <f>+'[2]CJE'!E77+'[2]CJE'!E78</f>
        <v>2001688</v>
      </c>
      <c r="I23" s="374"/>
      <c r="J23" s="375"/>
      <c r="K23" s="372"/>
      <c r="L23" s="372"/>
      <c r="M23" s="372"/>
      <c r="N23" s="373"/>
      <c r="O23" s="372"/>
      <c r="P23" s="374"/>
      <c r="Q23" s="376"/>
      <c r="R23" s="372"/>
      <c r="S23" s="374"/>
      <c r="T23" s="376" t="s">
        <v>408</v>
      </c>
      <c r="U23" s="372">
        <f>-'[2]CJE'!D111</f>
        <v>-657000</v>
      </c>
      <c r="V23" s="374">
        <f>+M23+F23</f>
        <v>0</v>
      </c>
    </row>
    <row r="24" spans="1:22" ht="15.75">
      <c r="A24" s="369"/>
      <c r="B24" s="372"/>
      <c r="C24" s="372"/>
      <c r="D24" s="372"/>
      <c r="E24" s="372"/>
      <c r="F24" s="372"/>
      <c r="G24" s="373"/>
      <c r="H24" s="372"/>
      <c r="I24" s="374"/>
      <c r="J24" s="375"/>
      <c r="K24" s="372"/>
      <c r="L24" s="372"/>
      <c r="M24" s="372"/>
      <c r="N24" s="373"/>
      <c r="O24" s="372"/>
      <c r="P24" s="374"/>
      <c r="Q24" s="376"/>
      <c r="R24" s="372"/>
      <c r="S24" s="374"/>
      <c r="T24" s="376"/>
      <c r="U24" s="372"/>
      <c r="V24" s="374"/>
    </row>
    <row r="25" spans="1:22" ht="15.75">
      <c r="A25" s="369" t="s">
        <v>411</v>
      </c>
      <c r="B25" s="372">
        <f>B77/$B$6</f>
        <v>0</v>
      </c>
      <c r="C25" s="372">
        <f>C77/$C$6</f>
        <v>0</v>
      </c>
      <c r="D25" s="372">
        <f>D77/$D$6</f>
        <v>0</v>
      </c>
      <c r="E25" s="372">
        <f>E77/$E$6</f>
        <v>0</v>
      </c>
      <c r="F25" s="372">
        <f t="shared" si="1"/>
        <v>0</v>
      </c>
      <c r="G25" s="373"/>
      <c r="H25" s="372"/>
      <c r="I25" s="374">
        <f t="shared" si="5"/>
        <v>0</v>
      </c>
      <c r="J25" s="375">
        <f>J77/$J$6</f>
        <v>0</v>
      </c>
      <c r="K25" s="372">
        <f>K77/$K$6</f>
        <v>-10675</v>
      </c>
      <c r="L25" s="372">
        <f>L77/$L$6</f>
        <v>0</v>
      </c>
      <c r="M25" s="372">
        <f t="shared" si="2"/>
        <v>-10675</v>
      </c>
      <c r="N25" s="373"/>
      <c r="O25" s="372"/>
      <c r="P25" s="374">
        <f t="shared" si="3"/>
        <v>-10675</v>
      </c>
      <c r="Q25" s="376"/>
      <c r="R25" s="372"/>
      <c r="S25" s="374">
        <f t="shared" si="4"/>
        <v>-10675</v>
      </c>
      <c r="T25" s="376"/>
      <c r="U25" s="372"/>
      <c r="V25" s="374">
        <f>+M25+F25+U25</f>
        <v>-10675</v>
      </c>
    </row>
    <row r="26" spans="1:22" ht="15.75">
      <c r="A26" s="369" t="s">
        <v>412</v>
      </c>
      <c r="B26" s="372">
        <f>B78/$B$6</f>
        <v>83066</v>
      </c>
      <c r="C26" s="372">
        <f>C78/$C$6</f>
        <v>89679.69250480461</v>
      </c>
      <c r="D26" s="372">
        <f>D78/$D$6</f>
        <v>485344.1706883414</v>
      </c>
      <c r="E26" s="372">
        <f>E78/$E$6</f>
        <v>0</v>
      </c>
      <c r="F26" s="372">
        <f t="shared" si="1"/>
        <v>658089.863193146</v>
      </c>
      <c r="G26" s="373" t="s">
        <v>410</v>
      </c>
      <c r="H26" s="372">
        <f>-'[2]CJE'!D76</f>
        <v>-2001688</v>
      </c>
      <c r="I26" s="374">
        <f t="shared" si="5"/>
        <v>-1343598.136806854</v>
      </c>
      <c r="J26" s="375">
        <f>J78/$J$6</f>
        <v>362.9645729189307</v>
      </c>
      <c r="K26" s="372">
        <f>K78/$K$6</f>
        <v>41000</v>
      </c>
      <c r="L26" s="372">
        <f>L78/$L$6</f>
        <v>222483.98058252427</v>
      </c>
      <c r="M26" s="372">
        <f t="shared" si="2"/>
        <v>263846.9451554432</v>
      </c>
      <c r="N26" s="373" t="s">
        <v>413</v>
      </c>
      <c r="O26" s="372">
        <f>+'[2]CJE'!E27</f>
        <v>18827</v>
      </c>
      <c r="P26" s="374">
        <f t="shared" si="3"/>
        <v>282673.9451554432</v>
      </c>
      <c r="Q26" s="376" t="s">
        <v>414</v>
      </c>
      <c r="R26" s="372">
        <f>+'[2]CJE'!E22</f>
        <v>-50445</v>
      </c>
      <c r="S26" s="374">
        <f t="shared" si="4"/>
        <v>-1111369.191651411</v>
      </c>
      <c r="T26" s="376" t="s">
        <v>409</v>
      </c>
      <c r="U26" s="372">
        <f>-'[2]CJE'!D148</f>
        <v>-528554.89</v>
      </c>
      <c r="V26" s="374">
        <f>+M26+F26+U26+U27</f>
        <v>393381.9183485891</v>
      </c>
    </row>
    <row r="27" spans="1:22" ht="15.75">
      <c r="A27" s="369"/>
      <c r="B27" s="372"/>
      <c r="C27" s="372"/>
      <c r="D27" s="372"/>
      <c r="E27" s="372"/>
      <c r="F27" s="372"/>
      <c r="G27" s="373"/>
      <c r="H27" s="372"/>
      <c r="I27" s="374"/>
      <c r="J27" s="375"/>
      <c r="K27" s="372"/>
      <c r="L27" s="372"/>
      <c r="M27" s="372"/>
      <c r="N27" s="373"/>
      <c r="O27" s="372"/>
      <c r="P27" s="374"/>
      <c r="Q27" s="376"/>
      <c r="R27" s="372"/>
      <c r="S27" s="374"/>
      <c r="T27" s="376"/>
      <c r="U27" s="372"/>
      <c r="V27" s="374"/>
    </row>
    <row r="28" spans="1:22" ht="15.75">
      <c r="A28" s="369" t="s">
        <v>415</v>
      </c>
      <c r="B28" s="372">
        <f>B79/$B$6</f>
        <v>0</v>
      </c>
      <c r="C28" s="372">
        <f>C79/$C$6</f>
        <v>0</v>
      </c>
      <c r="D28" s="372">
        <f>D79/$D$6</f>
        <v>0</v>
      </c>
      <c r="E28" s="372">
        <f>E79/$E$6</f>
        <v>0</v>
      </c>
      <c r="F28" s="372">
        <f t="shared" si="1"/>
        <v>0</v>
      </c>
      <c r="G28" s="373"/>
      <c r="H28" s="372"/>
      <c r="I28" s="374">
        <f t="shared" si="5"/>
        <v>0</v>
      </c>
      <c r="J28" s="375">
        <f>J79/$J$6</f>
        <v>0</v>
      </c>
      <c r="K28" s="372">
        <f>K79/$K$6</f>
        <v>0</v>
      </c>
      <c r="L28" s="372">
        <f>L79/$L$6</f>
        <v>0</v>
      </c>
      <c r="M28" s="372">
        <f t="shared" si="2"/>
        <v>0</v>
      </c>
      <c r="N28" s="373" t="s">
        <v>413</v>
      </c>
      <c r="O28" s="372">
        <f>-'[2]CJE'!D26</f>
        <v>-1466325</v>
      </c>
      <c r="P28" s="374">
        <f t="shared" si="3"/>
        <v>-1466325</v>
      </c>
      <c r="Q28" s="376" t="s">
        <v>414</v>
      </c>
      <c r="R28" s="372">
        <f>-'[2]CJE'!D21</f>
        <v>-1563152</v>
      </c>
      <c r="S28" s="374">
        <f t="shared" si="4"/>
        <v>-3029477</v>
      </c>
      <c r="T28" s="376"/>
      <c r="U28" s="372"/>
      <c r="V28" s="374">
        <f>+M28+F28+U28</f>
        <v>0</v>
      </c>
    </row>
    <row r="29" spans="1:22" ht="15.75">
      <c r="A29" s="369"/>
      <c r="B29" s="372"/>
      <c r="C29" s="372"/>
      <c r="D29" s="372"/>
      <c r="E29" s="372"/>
      <c r="F29" s="372"/>
      <c r="G29" s="373"/>
      <c r="H29" s="372"/>
      <c r="I29" s="374"/>
      <c r="J29" s="375"/>
      <c r="K29" s="372"/>
      <c r="L29" s="372"/>
      <c r="M29" s="372"/>
      <c r="N29" s="373"/>
      <c r="O29" s="372"/>
      <c r="P29" s="374"/>
      <c r="Q29" s="376"/>
      <c r="R29" s="372"/>
      <c r="S29" s="374"/>
      <c r="T29" s="376"/>
      <c r="U29" s="372"/>
      <c r="V29" s="374"/>
    </row>
    <row r="30" spans="1:22" ht="15.75">
      <c r="A30" s="369" t="s">
        <v>416</v>
      </c>
      <c r="B30" s="373">
        <f>SUM(B14:B29)</f>
        <v>4952475</v>
      </c>
      <c r="C30" s="373">
        <f>SUM(C14:C29)</f>
        <v>-872985.7234373565</v>
      </c>
      <c r="D30" s="373">
        <f>SUM(D14:D29)</f>
        <v>-417094.2341884681</v>
      </c>
      <c r="E30" s="373">
        <f>SUM(E14:E29)</f>
        <v>303957.9383625067</v>
      </c>
      <c r="F30" s="373">
        <f>SUM(F14:F29)</f>
        <v>3966352.9807366733</v>
      </c>
      <c r="G30" s="373"/>
      <c r="H30" s="372"/>
      <c r="I30" s="381">
        <f>SUM(I14:I29)</f>
        <v>3464404.980736674</v>
      </c>
      <c r="J30" s="376">
        <f>SUM(J14:J29)</f>
        <v>-58115.62703760087</v>
      </c>
      <c r="K30" s="373">
        <f>SUM(K14:K29)</f>
        <v>698059</v>
      </c>
      <c r="L30" s="373">
        <f>SUM(L14:L29)</f>
        <v>-83450.00000000052</v>
      </c>
      <c r="M30" s="373">
        <f>SUM(M14:M29)</f>
        <v>556493.3729624008</v>
      </c>
      <c r="N30" s="373"/>
      <c r="O30" s="372"/>
      <c r="P30" s="381">
        <f>SUM(P14:P29)</f>
        <v>-891004.6270375992</v>
      </c>
      <c r="Q30" s="376"/>
      <c r="R30" s="372"/>
      <c r="S30" s="381">
        <f>SUM(S14:S29)</f>
        <v>1073507.3536990727</v>
      </c>
      <c r="T30" s="376"/>
      <c r="U30" s="372"/>
      <c r="V30" s="381">
        <f>SUM(V14:V29)</f>
        <v>3821337.6190836867</v>
      </c>
    </row>
    <row r="31" spans="1:22" ht="15.75">
      <c r="A31" s="369"/>
      <c r="B31" s="372"/>
      <c r="C31" s="372"/>
      <c r="D31" s="372"/>
      <c r="E31" s="372"/>
      <c r="F31" s="372"/>
      <c r="G31" s="373"/>
      <c r="H31" s="372"/>
      <c r="I31" s="374"/>
      <c r="J31" s="375"/>
      <c r="K31" s="372"/>
      <c r="L31" s="372"/>
      <c r="M31" s="372"/>
      <c r="N31" s="373"/>
      <c r="O31" s="372"/>
      <c r="P31" s="374"/>
      <c r="Q31" s="376"/>
      <c r="R31" s="372"/>
      <c r="S31" s="374"/>
      <c r="T31" s="376"/>
      <c r="U31" s="372"/>
      <c r="V31" s="374"/>
    </row>
    <row r="32" spans="1:22" ht="15.75">
      <c r="A32" s="369" t="s">
        <v>417</v>
      </c>
      <c r="B32" s="372">
        <f>B83/$B$6</f>
        <v>141131</v>
      </c>
      <c r="C32" s="372">
        <f>C83/$C$6</f>
        <v>0</v>
      </c>
      <c r="D32" s="372">
        <f>D83/$D$6</f>
        <v>0</v>
      </c>
      <c r="E32" s="372">
        <f>E83/$E$6</f>
        <v>443.9839513248975</v>
      </c>
      <c r="F32" s="372">
        <f>SUM(B32:E32)</f>
        <v>141574.9839513249</v>
      </c>
      <c r="G32" s="373"/>
      <c r="H32" s="372"/>
      <c r="I32" s="374">
        <f>F32+H32</f>
        <v>141574.9839513249</v>
      </c>
      <c r="J32" s="375">
        <f>J83/$J$6</f>
        <v>2701.5866116061725</v>
      </c>
      <c r="K32" s="372">
        <f>K83/$K$6</f>
        <v>0</v>
      </c>
      <c r="L32" s="372">
        <f>L83/$L$6</f>
        <v>0</v>
      </c>
      <c r="M32" s="372">
        <f>SUM(J32:L32)</f>
        <v>2701.5866116061725</v>
      </c>
      <c r="N32" s="373"/>
      <c r="O32" s="372"/>
      <c r="P32" s="374">
        <f>M32+O32</f>
        <v>2701.5866116061725</v>
      </c>
      <c r="Q32" s="376"/>
      <c r="R32" s="372"/>
      <c r="S32" s="374">
        <f>+R32+P32+I32</f>
        <v>144276.57056293107</v>
      </c>
      <c r="T32" s="376"/>
      <c r="U32" s="372"/>
      <c r="V32" s="374">
        <f>+M32+F32</f>
        <v>144276.57056293107</v>
      </c>
    </row>
    <row r="33" spans="1:22" ht="15.75">
      <c r="A33" s="369" t="s">
        <v>418</v>
      </c>
      <c r="B33" s="372">
        <f>B84/$B$6</f>
        <v>341789</v>
      </c>
      <c r="C33" s="372">
        <f>C84/$C$6</f>
        <v>0</v>
      </c>
      <c r="D33" s="372">
        <f>D84/$D$6</f>
        <v>-287881.63576327154</v>
      </c>
      <c r="E33" s="372">
        <f>E84/$E$6</f>
        <v>-54901.018473612276</v>
      </c>
      <c r="F33" s="372">
        <f>SUM(B33:E33)</f>
        <v>-993.6542368838127</v>
      </c>
      <c r="G33" s="373"/>
      <c r="H33" s="372"/>
      <c r="I33" s="374">
        <f>F33+H33</f>
        <v>-993.6542368838127</v>
      </c>
      <c r="J33" s="375">
        <f>J84/$J$6</f>
        <v>18682.895022821125</v>
      </c>
      <c r="K33" s="372">
        <f>K84/$K$6</f>
        <v>-30505</v>
      </c>
      <c r="L33" s="372">
        <f>L84/$L$6</f>
        <v>0</v>
      </c>
      <c r="M33" s="372">
        <f>SUM(J33:L33)</f>
        <v>-11822.104977178875</v>
      </c>
      <c r="N33" s="373"/>
      <c r="O33" s="372"/>
      <c r="P33" s="374">
        <f>M33+O33</f>
        <v>-11822.104977178875</v>
      </c>
      <c r="Q33" s="376"/>
      <c r="R33" s="372"/>
      <c r="S33" s="374">
        <f>+R33+P33+I33</f>
        <v>-12815.759214062688</v>
      </c>
      <c r="T33" s="376"/>
      <c r="U33" s="372"/>
      <c r="V33" s="374">
        <f>+M33+F33</f>
        <v>-12815.759214062688</v>
      </c>
    </row>
    <row r="34" spans="1:22" ht="15.75">
      <c r="A34" s="369" t="s">
        <v>419</v>
      </c>
      <c r="B34" s="372">
        <f>B85/$B$6</f>
        <v>-1521669</v>
      </c>
      <c r="C34" s="372">
        <f>C85/$C$6</f>
        <v>-166406.14990390776</v>
      </c>
      <c r="D34" s="372">
        <f>D85/$D$6</f>
        <v>-609791.7195834392</v>
      </c>
      <c r="E34" s="372">
        <f>E85/$E$6</f>
        <v>-55553.1061240686</v>
      </c>
      <c r="F34" s="372">
        <f>SUM(B34:E34)</f>
        <v>-2353419.9756114157</v>
      </c>
      <c r="G34" s="373"/>
      <c r="H34" s="372"/>
      <c r="I34" s="374">
        <f>F34+H34</f>
        <v>-2353419.9756114157</v>
      </c>
      <c r="J34" s="375">
        <f>J85/$J$6</f>
        <v>-4709.845685720496</v>
      </c>
      <c r="K34" s="372">
        <f>K85/$K$6</f>
        <v>-1771</v>
      </c>
      <c r="L34" s="372">
        <f>L85/$L$6</f>
        <v>-4683.495145631068</v>
      </c>
      <c r="M34" s="372">
        <f>SUM(J34:L34)</f>
        <v>-11164.340831351565</v>
      </c>
      <c r="N34" s="373"/>
      <c r="O34" s="372"/>
      <c r="P34" s="374">
        <f>M34+O34</f>
        <v>-11164.340831351565</v>
      </c>
      <c r="Q34" s="376"/>
      <c r="R34" s="372"/>
      <c r="S34" s="374">
        <f>+R34+P34+I34</f>
        <v>-2364584.316442767</v>
      </c>
      <c r="T34" s="376"/>
      <c r="U34" s="372"/>
      <c r="V34" s="374">
        <f>+M34+F34</f>
        <v>-2364584.316442767</v>
      </c>
    </row>
    <row r="35" spans="1:22" ht="15.75">
      <c r="A35" s="369"/>
      <c r="B35" s="372"/>
      <c r="C35" s="372"/>
      <c r="D35" s="372"/>
      <c r="E35" s="372"/>
      <c r="F35" s="372"/>
      <c r="G35" s="373"/>
      <c r="H35" s="372"/>
      <c r="I35" s="374"/>
      <c r="J35" s="375"/>
      <c r="K35" s="372"/>
      <c r="L35" s="372"/>
      <c r="M35" s="372"/>
      <c r="N35" s="373"/>
      <c r="O35" s="372"/>
      <c r="P35" s="374"/>
      <c r="Q35" s="376"/>
      <c r="R35" s="372"/>
      <c r="S35" s="374"/>
      <c r="T35" s="376"/>
      <c r="U35" s="372"/>
      <c r="V35" s="374"/>
    </row>
    <row r="36" spans="1:24" ht="15.75">
      <c r="A36" s="369" t="s">
        <v>420</v>
      </c>
      <c r="B36" s="373">
        <f>SUM(B30:B34)</f>
        <v>3913726</v>
      </c>
      <c r="C36" s="373">
        <f>SUM(C30:C34)</f>
        <v>-1039391.8733412643</v>
      </c>
      <c r="D36" s="373">
        <f>SUM(D30:D34)</f>
        <v>-1314767.5895351788</v>
      </c>
      <c r="E36" s="373">
        <f>SUM(E30:E34)</f>
        <v>193947.7977161507</v>
      </c>
      <c r="F36" s="373">
        <f>SUM(F30:F34)</f>
        <v>1753514.3348396989</v>
      </c>
      <c r="G36" s="373"/>
      <c r="H36" s="372"/>
      <c r="I36" s="381">
        <f>SUM(I30:I34)</f>
        <v>1251566.3348396993</v>
      </c>
      <c r="J36" s="376">
        <f>SUM(J30:J34)</f>
        <v>-41440.991088894065</v>
      </c>
      <c r="K36" s="373">
        <f>SUM(K30:K34)</f>
        <v>665783</v>
      </c>
      <c r="L36" s="373">
        <f>SUM(L30:L34)</f>
        <v>-88133.49514563159</v>
      </c>
      <c r="M36" s="373">
        <f>SUM(M30:M34)</f>
        <v>536208.5137654765</v>
      </c>
      <c r="N36" s="373"/>
      <c r="O36" s="372"/>
      <c r="P36" s="381">
        <f>SUM(P30:P34)</f>
        <v>-911289.4862345235</v>
      </c>
      <c r="Q36" s="376"/>
      <c r="R36" s="372"/>
      <c r="S36" s="381">
        <f>SUM(S30:S34)</f>
        <v>-1159616.1513948261</v>
      </c>
      <c r="T36" s="376"/>
      <c r="U36" s="372"/>
      <c r="V36" s="381">
        <f>SUM(V30:V34)</f>
        <v>1588214.113989788</v>
      </c>
      <c r="W36" s="382"/>
      <c r="X36" s="365"/>
    </row>
    <row r="37" spans="1:22" ht="15.75">
      <c r="A37" s="369"/>
      <c r="B37" s="372"/>
      <c r="C37" s="372"/>
      <c r="D37" s="372"/>
      <c r="E37" s="372"/>
      <c r="F37" s="372"/>
      <c r="G37" s="373"/>
      <c r="H37" s="372"/>
      <c r="I37" s="374"/>
      <c r="J37" s="375"/>
      <c r="K37" s="372"/>
      <c r="L37" s="372"/>
      <c r="M37" s="372"/>
      <c r="N37" s="373"/>
      <c r="O37" s="372"/>
      <c r="P37" s="374"/>
      <c r="Q37" s="376"/>
      <c r="R37" s="372"/>
      <c r="S37" s="374"/>
      <c r="T37" s="376"/>
      <c r="U37" s="372"/>
      <c r="V37" s="374"/>
    </row>
    <row r="38" spans="1:22" ht="15.75">
      <c r="A38" s="369" t="s">
        <v>34</v>
      </c>
      <c r="B38" s="372">
        <f>B89/$B$6</f>
        <v>-1184938</v>
      </c>
      <c r="C38" s="372">
        <f>C89/$C$6</f>
        <v>-0.4575821359934108</v>
      </c>
      <c r="D38" s="372">
        <f>D89/$D$6</f>
        <v>-2.54000508001016</v>
      </c>
      <c r="E38" s="372">
        <f>E89/$E$6</f>
        <v>0</v>
      </c>
      <c r="F38" s="372">
        <f>SUM(B38:E38)</f>
        <v>-1184940.9975872159</v>
      </c>
      <c r="G38" s="373"/>
      <c r="H38" s="372"/>
      <c r="I38" s="374">
        <f>F38+H38</f>
        <v>-1184940.9975872159</v>
      </c>
      <c r="J38" s="375">
        <f>J89/$J$6</f>
        <v>7326.668115627038</v>
      </c>
      <c r="K38" s="372">
        <f>K89/$K$6</f>
        <v>-179432</v>
      </c>
      <c r="L38" s="372">
        <f>L89/$L$6</f>
        <v>-3448.5436893203882</v>
      </c>
      <c r="M38" s="372">
        <f>SUM(J38:L38)</f>
        <v>-175553.87557369334</v>
      </c>
      <c r="N38" s="373" t="s">
        <v>413</v>
      </c>
      <c r="O38" s="372">
        <f>+'[2]CJE'!E28</f>
        <v>234613</v>
      </c>
      <c r="P38" s="374">
        <f>M38+O38</f>
        <v>59059.12442630666</v>
      </c>
      <c r="Q38" s="376"/>
      <c r="R38" s="372"/>
      <c r="S38" s="374">
        <f>+R38+P38+I38</f>
        <v>-1125881.8731609092</v>
      </c>
      <c r="T38" s="376" t="str">
        <f>+'[2]CJE'!AG168</f>
        <v>T3</v>
      </c>
      <c r="U38" s="372">
        <f>-'[2]CJE'!AG166</f>
        <v>25200</v>
      </c>
      <c r="V38" s="374">
        <f>+M38+F38+U38</f>
        <v>-1335294.8731609092</v>
      </c>
    </row>
    <row r="39" spans="1:22" ht="15.75">
      <c r="A39" s="369"/>
      <c r="B39" s="372"/>
      <c r="C39" s="372"/>
      <c r="D39" s="372"/>
      <c r="E39" s="372"/>
      <c r="F39" s="372"/>
      <c r="G39" s="373"/>
      <c r="H39" s="372"/>
      <c r="I39" s="374"/>
      <c r="J39" s="375"/>
      <c r="K39" s="372"/>
      <c r="L39" s="372"/>
      <c r="M39" s="372"/>
      <c r="N39" s="373"/>
      <c r="O39" s="372"/>
      <c r="P39" s="374"/>
      <c r="Q39" s="376"/>
      <c r="R39" s="372"/>
      <c r="S39" s="374"/>
      <c r="T39" s="376"/>
      <c r="U39" s="372"/>
      <c r="V39" s="374"/>
    </row>
    <row r="40" spans="1:22" ht="15.75">
      <c r="A40" s="369" t="s">
        <v>421</v>
      </c>
      <c r="B40" s="373">
        <f>B36+B38</f>
        <v>2728788</v>
      </c>
      <c r="C40" s="373">
        <f>C36+C38</f>
        <v>-1039392.3309234004</v>
      </c>
      <c r="D40" s="373">
        <f>D36+D38</f>
        <v>-1314770.1295402588</v>
      </c>
      <c r="E40" s="373">
        <f>E36+E38</f>
        <v>193947.7977161507</v>
      </c>
      <c r="F40" s="373">
        <f>F36+F38</f>
        <v>568573.337252483</v>
      </c>
      <c r="G40" s="373"/>
      <c r="H40" s="372"/>
      <c r="I40" s="381">
        <f>I36+I38</f>
        <v>66625.33725248347</v>
      </c>
      <c r="J40" s="376">
        <f>J36+J38</f>
        <v>-34114.32297326703</v>
      </c>
      <c r="K40" s="373">
        <f>K36+K38</f>
        <v>486351</v>
      </c>
      <c r="L40" s="373">
        <f>L36+L38</f>
        <v>-91582.03883495198</v>
      </c>
      <c r="M40" s="373">
        <f>M36+M38</f>
        <v>360654.6381917832</v>
      </c>
      <c r="N40" s="373"/>
      <c r="O40" s="372"/>
      <c r="P40" s="381">
        <f>P36+P38</f>
        <v>-852230.3618082168</v>
      </c>
      <c r="Q40" s="376"/>
      <c r="R40" s="372"/>
      <c r="S40" s="381">
        <f>S36+S38</f>
        <v>-2285498.0245557353</v>
      </c>
      <c r="T40" s="376"/>
      <c r="U40" s="372"/>
      <c r="V40" s="381">
        <f>V36+V38</f>
        <v>252919.24082887894</v>
      </c>
    </row>
    <row r="41" spans="1:22" ht="15.75">
      <c r="A41" s="369"/>
      <c r="B41" s="372"/>
      <c r="C41" s="372"/>
      <c r="D41" s="372"/>
      <c r="E41" s="372"/>
      <c r="F41" s="372"/>
      <c r="G41" s="373"/>
      <c r="H41" s="372"/>
      <c r="I41" s="374"/>
      <c r="J41" s="375"/>
      <c r="K41" s="372"/>
      <c r="L41" s="372"/>
      <c r="M41" s="372"/>
      <c r="N41" s="373"/>
      <c r="O41" s="372"/>
      <c r="P41" s="374"/>
      <c r="Q41" s="376"/>
      <c r="R41" s="372"/>
      <c r="S41" s="374"/>
      <c r="T41" s="376"/>
      <c r="U41" s="372"/>
      <c r="V41" s="374"/>
    </row>
    <row r="42" spans="1:22" ht="15.75">
      <c r="A42" s="369" t="s">
        <v>272</v>
      </c>
      <c r="B42" s="372"/>
      <c r="C42" s="372"/>
      <c r="D42" s="372"/>
      <c r="E42" s="372"/>
      <c r="F42" s="372"/>
      <c r="G42" s="373" t="s">
        <v>422</v>
      </c>
      <c r="H42" s="372">
        <f>-'[2]CJE'!D17</f>
        <v>315618</v>
      </c>
      <c r="I42" s="374">
        <f>F42+H42</f>
        <v>315618</v>
      </c>
      <c r="J42" s="375"/>
      <c r="K42" s="372"/>
      <c r="L42" s="372"/>
      <c r="M42" s="372"/>
      <c r="N42" s="373"/>
      <c r="O42" s="372"/>
      <c r="P42" s="374"/>
      <c r="Q42" s="376"/>
      <c r="R42" s="372"/>
      <c r="S42" s="374">
        <f>+R42+P42+I42</f>
        <v>315618</v>
      </c>
      <c r="T42" s="376"/>
      <c r="U42" s="372"/>
      <c r="V42" s="374">
        <f>+M42+F42+U42</f>
        <v>0</v>
      </c>
    </row>
    <row r="43" spans="1:22" ht="15.75">
      <c r="A43" s="369"/>
      <c r="B43" s="372"/>
      <c r="C43" s="372"/>
      <c r="D43" s="372"/>
      <c r="E43" s="372"/>
      <c r="F43" s="372"/>
      <c r="G43" s="373"/>
      <c r="H43" s="372"/>
      <c r="I43" s="374"/>
      <c r="J43" s="375"/>
      <c r="K43" s="372"/>
      <c r="L43" s="372"/>
      <c r="M43" s="372"/>
      <c r="N43" s="373"/>
      <c r="O43" s="372"/>
      <c r="P43" s="374"/>
      <c r="Q43" s="376"/>
      <c r="R43" s="372"/>
      <c r="S43" s="374"/>
      <c r="T43" s="376"/>
      <c r="U43" s="372"/>
      <c r="V43" s="374"/>
    </row>
    <row r="44" spans="1:22" ht="15.75">
      <c r="A44" s="369" t="s">
        <v>423</v>
      </c>
      <c r="B44" s="373">
        <f>B40+B42</f>
        <v>2728788</v>
      </c>
      <c r="C44" s="373">
        <f>C40+C42</f>
        <v>-1039392.3309234004</v>
      </c>
      <c r="D44" s="373">
        <f>D40+D42</f>
        <v>-1314770.1295402588</v>
      </c>
      <c r="E44" s="373">
        <f>E40+E42</f>
        <v>193947.7977161507</v>
      </c>
      <c r="F44" s="373">
        <f>F40+F42</f>
        <v>568573.337252483</v>
      </c>
      <c r="G44" s="373"/>
      <c r="H44" s="372"/>
      <c r="I44" s="381">
        <f>I40+I42</f>
        <v>382243.33725248347</v>
      </c>
      <c r="J44" s="376">
        <f>J40+J42</f>
        <v>-34114.32297326703</v>
      </c>
      <c r="K44" s="373">
        <f>K40+K42</f>
        <v>486351</v>
      </c>
      <c r="L44" s="373">
        <f>L40+L42</f>
        <v>-91582.03883495198</v>
      </c>
      <c r="M44" s="373">
        <f>M40+M42</f>
        <v>360654.6381917832</v>
      </c>
      <c r="N44" s="373"/>
      <c r="O44" s="372"/>
      <c r="P44" s="381">
        <f>P40+P42</f>
        <v>-852230.3618082168</v>
      </c>
      <c r="Q44" s="376"/>
      <c r="R44" s="372"/>
      <c r="S44" s="381">
        <f>S40+S42</f>
        <v>-1969880.0245557353</v>
      </c>
      <c r="T44" s="376"/>
      <c r="U44" s="372"/>
      <c r="V44" s="381">
        <f>V40+V42</f>
        <v>252919.24082887894</v>
      </c>
    </row>
    <row r="45" spans="1:22" ht="15.75">
      <c r="A45" s="369"/>
      <c r="B45" s="372"/>
      <c r="C45" s="372"/>
      <c r="D45" s="372"/>
      <c r="E45" s="372"/>
      <c r="F45" s="372"/>
      <c r="G45" s="373"/>
      <c r="H45" s="372"/>
      <c r="I45" s="374"/>
      <c r="J45" s="375"/>
      <c r="K45" s="372"/>
      <c r="L45" s="372"/>
      <c r="M45" s="372"/>
      <c r="N45" s="373"/>
      <c r="O45" s="372"/>
      <c r="P45" s="374"/>
      <c r="Q45" s="376"/>
      <c r="R45" s="369"/>
      <c r="S45" s="374"/>
      <c r="T45" s="376"/>
      <c r="U45" s="369"/>
      <c r="V45" s="374"/>
    </row>
    <row r="46" spans="1:22" ht="15.75">
      <c r="A46" s="369" t="s">
        <v>424</v>
      </c>
      <c r="B46" s="372">
        <v>45032310</v>
      </c>
      <c r="C46" s="372">
        <v>-19715450</v>
      </c>
      <c r="D46" s="372">
        <v>-30516851</v>
      </c>
      <c r="E46" s="372">
        <v>-8230819</v>
      </c>
      <c r="F46" s="372">
        <f>SUM(B46:E46)</f>
        <v>-13430810</v>
      </c>
      <c r="G46" s="373"/>
      <c r="H46" s="372"/>
      <c r="I46" s="374">
        <f>F46+H46</f>
        <v>-13430810</v>
      </c>
      <c r="J46" s="375">
        <v>10590463</v>
      </c>
      <c r="K46" s="372">
        <v>2659979</v>
      </c>
      <c r="L46" s="372">
        <v>2516463</v>
      </c>
      <c r="M46" s="372">
        <f>SUM(J46:L46)</f>
        <v>15766905</v>
      </c>
      <c r="N46" s="373"/>
      <c r="O46" s="372"/>
      <c r="P46" s="374">
        <f>M46+O46</f>
        <v>15766905</v>
      </c>
      <c r="Q46" s="376" t="s">
        <v>425</v>
      </c>
      <c r="R46" s="383">
        <f>-'[2]CJE'!J106</f>
        <v>7221286</v>
      </c>
      <c r="S46" s="374">
        <f>+R46+P46+I46</f>
        <v>9557381</v>
      </c>
      <c r="T46" s="376" t="s">
        <v>425</v>
      </c>
      <c r="U46" s="383">
        <f>-'[2]CJE'!J166</f>
        <v>7547243</v>
      </c>
      <c r="V46" s="374">
        <f>+M46+F46+U46</f>
        <v>9883338</v>
      </c>
    </row>
    <row r="47" spans="1:22" ht="15.75">
      <c r="A47" s="369"/>
      <c r="B47" s="372"/>
      <c r="C47" s="372"/>
      <c r="D47" s="372"/>
      <c r="E47" s="372"/>
      <c r="F47" s="372"/>
      <c r="G47" s="373"/>
      <c r="H47" s="372"/>
      <c r="I47" s="374"/>
      <c r="J47" s="375"/>
      <c r="K47" s="372"/>
      <c r="L47" s="372"/>
      <c r="M47" s="372"/>
      <c r="N47" s="373"/>
      <c r="O47" s="372"/>
      <c r="P47" s="374"/>
      <c r="Q47" s="376"/>
      <c r="R47" s="369"/>
      <c r="S47" s="374"/>
      <c r="T47" s="376"/>
      <c r="U47" s="369"/>
      <c r="V47" s="374"/>
    </row>
    <row r="48" spans="1:22" ht="15.75">
      <c r="A48" s="369" t="s">
        <v>426</v>
      </c>
      <c r="B48" s="373">
        <f>+B46+B44</f>
        <v>47761098</v>
      </c>
      <c r="C48" s="373">
        <f>+C46+C44</f>
        <v>-20754842.3309234</v>
      </c>
      <c r="D48" s="373">
        <f>+D46+D44</f>
        <v>-31831621.129540257</v>
      </c>
      <c r="E48" s="373">
        <f>+E46+E44</f>
        <v>-8036871.202283849</v>
      </c>
      <c r="F48" s="373">
        <f>+F46+F44</f>
        <v>-12862236.662747517</v>
      </c>
      <c r="G48" s="373"/>
      <c r="H48" s="372"/>
      <c r="I48" s="381">
        <f>+I46+I44</f>
        <v>-13048566.662747517</v>
      </c>
      <c r="J48" s="373">
        <f>+J46+J44</f>
        <v>10556348.677026734</v>
      </c>
      <c r="K48" s="373">
        <f>+K46+K44</f>
        <v>3146330</v>
      </c>
      <c r="L48" s="373">
        <f>+L46+L44</f>
        <v>2424880.961165048</v>
      </c>
      <c r="M48" s="373">
        <f>+M46+M44</f>
        <v>16127559.638191784</v>
      </c>
      <c r="N48" s="373"/>
      <c r="O48" s="372"/>
      <c r="P48" s="381">
        <f>+P46+P44</f>
        <v>14914674.638191784</v>
      </c>
      <c r="Q48" s="376"/>
      <c r="R48" s="383"/>
      <c r="S48" s="381">
        <f>+S46+S44+R48</f>
        <v>7587500.975444265</v>
      </c>
      <c r="T48" s="376"/>
      <c r="U48" s="383"/>
      <c r="V48" s="381">
        <f>+V46+V44+U48</f>
        <v>10136257.24082888</v>
      </c>
    </row>
    <row r="49" spans="1:22" ht="15.75">
      <c r="A49" s="369"/>
      <c r="B49" s="372"/>
      <c r="C49" s="372"/>
      <c r="D49" s="372"/>
      <c r="E49" s="372"/>
      <c r="F49" s="372"/>
      <c r="G49" s="373"/>
      <c r="H49" s="372"/>
      <c r="I49" s="374"/>
      <c r="J49" s="375"/>
      <c r="K49" s="372"/>
      <c r="L49" s="372"/>
      <c r="M49" s="372"/>
      <c r="N49" s="373"/>
      <c r="O49" s="372"/>
      <c r="P49" s="374"/>
      <c r="Q49" s="376"/>
      <c r="R49" s="369"/>
      <c r="S49" s="374"/>
      <c r="T49" s="376"/>
      <c r="U49" s="369"/>
      <c r="V49" s="374"/>
    </row>
    <row r="50" spans="1:22" ht="15.75">
      <c r="A50" s="369" t="s">
        <v>427</v>
      </c>
      <c r="B50" s="372"/>
      <c r="C50" s="372"/>
      <c r="D50" s="372"/>
      <c r="E50" s="372"/>
      <c r="F50" s="372">
        <f>SUM(B50:E50)</f>
        <v>0</v>
      </c>
      <c r="G50" s="373"/>
      <c r="H50" s="372"/>
      <c r="I50" s="374">
        <f>F50+H50</f>
        <v>0</v>
      </c>
      <c r="J50" s="375"/>
      <c r="K50" s="372"/>
      <c r="L50" s="372"/>
      <c r="M50" s="372">
        <f>SUM(J50:L50)</f>
        <v>0</v>
      </c>
      <c r="N50" s="373" t="s">
        <v>413</v>
      </c>
      <c r="O50" s="372">
        <f>+'[2]CJE'!E29</f>
        <v>1212885</v>
      </c>
      <c r="P50" s="374">
        <f>M50+O50</f>
        <v>1212885</v>
      </c>
      <c r="Q50" s="376" t="s">
        <v>414</v>
      </c>
      <c r="R50" s="372">
        <f>+'[2]CJE'!E23</f>
        <v>1613597</v>
      </c>
      <c r="S50" s="374">
        <f>+R50+P50+I50</f>
        <v>2826482</v>
      </c>
      <c r="T50" s="376"/>
      <c r="U50" s="372"/>
      <c r="V50" s="374">
        <f>+M50+F50+U50+U51</f>
        <v>0</v>
      </c>
    </row>
    <row r="51" spans="1:22" ht="15.75">
      <c r="A51" s="369"/>
      <c r="B51" s="372"/>
      <c r="C51" s="372"/>
      <c r="D51" s="372"/>
      <c r="E51" s="372"/>
      <c r="F51" s="372"/>
      <c r="G51" s="373"/>
      <c r="H51" s="372"/>
      <c r="I51" s="374"/>
      <c r="J51" s="375"/>
      <c r="K51" s="372"/>
      <c r="L51" s="372"/>
      <c r="M51" s="372"/>
      <c r="N51" s="373"/>
      <c r="O51" s="372"/>
      <c r="P51" s="374"/>
      <c r="Q51" s="376"/>
      <c r="R51" s="369"/>
      <c r="S51" s="374"/>
      <c r="T51" s="376"/>
      <c r="U51" s="372"/>
      <c r="V51" s="374"/>
    </row>
    <row r="52" spans="1:22" ht="15.75">
      <c r="A52" s="369" t="s">
        <v>428</v>
      </c>
      <c r="B52" s="373">
        <f>+B48+B50</f>
        <v>47761098</v>
      </c>
      <c r="C52" s="373">
        <f>+C48+C50</f>
        <v>-20754842.3309234</v>
      </c>
      <c r="D52" s="373">
        <f>+D48+D50</f>
        <v>-31831621.129540257</v>
      </c>
      <c r="E52" s="373">
        <f>+E48+E50</f>
        <v>-8036871.202283849</v>
      </c>
      <c r="F52" s="373">
        <f>+F48+F50</f>
        <v>-12862236.662747517</v>
      </c>
      <c r="G52" s="373"/>
      <c r="H52" s="372"/>
      <c r="I52" s="381">
        <f>+I48+I50</f>
        <v>-13048566.662747517</v>
      </c>
      <c r="J52" s="373">
        <f>+J48+J50</f>
        <v>10556348.677026734</v>
      </c>
      <c r="K52" s="373">
        <f>+K48+K50</f>
        <v>3146330</v>
      </c>
      <c r="L52" s="373">
        <f>+L48+L50</f>
        <v>2424880.961165048</v>
      </c>
      <c r="M52" s="373">
        <f>+M48+M50</f>
        <v>16127559.638191784</v>
      </c>
      <c r="N52" s="373"/>
      <c r="O52" s="372"/>
      <c r="P52" s="381">
        <f>+P48+P50</f>
        <v>16127559.638191784</v>
      </c>
      <c r="Q52" s="376"/>
      <c r="R52" s="369"/>
      <c r="S52" s="381">
        <f>+S48+S50</f>
        <v>10413982.975444265</v>
      </c>
      <c r="T52" s="376"/>
      <c r="U52" s="369"/>
      <c r="V52" s="381">
        <f>+V48+V50</f>
        <v>10136257.24082888</v>
      </c>
    </row>
    <row r="53" spans="1:22" ht="15.75">
      <c r="A53" s="369"/>
      <c r="B53" s="372"/>
      <c r="C53" s="372"/>
      <c r="D53" s="372"/>
      <c r="E53" s="372"/>
      <c r="F53" s="372"/>
      <c r="G53" s="373"/>
      <c r="H53" s="372"/>
      <c r="I53" s="374"/>
      <c r="J53" s="375"/>
      <c r="K53" s="372"/>
      <c r="L53" s="372"/>
      <c r="M53" s="372"/>
      <c r="N53" s="373"/>
      <c r="O53" s="372"/>
      <c r="P53" s="374"/>
      <c r="Q53" s="376"/>
      <c r="R53" s="369"/>
      <c r="S53" s="374"/>
      <c r="T53" s="376"/>
      <c r="U53" s="369"/>
      <c r="V53" s="374"/>
    </row>
    <row r="54" spans="1:22" ht="15.75">
      <c r="A54" s="369"/>
      <c r="B54" s="372">
        <f>B95/B6</f>
        <v>2728788</v>
      </c>
      <c r="C54" s="372">
        <f>C95/C6</f>
        <v>-1039392.3309234007</v>
      </c>
      <c r="D54" s="372">
        <f>D95/D6</f>
        <v>-1314770.129540259</v>
      </c>
      <c r="E54" s="372">
        <f>E95/E6</f>
        <v>193947.7977161501</v>
      </c>
      <c r="F54" s="372"/>
      <c r="G54" s="373"/>
      <c r="H54" s="372"/>
      <c r="I54" s="374"/>
      <c r="J54" s="375">
        <f>J95/J6</f>
        <v>-34114.32297326668</v>
      </c>
      <c r="K54" s="372">
        <f>K95/K6</f>
        <v>486351</v>
      </c>
      <c r="L54" s="372">
        <f>L95/L6</f>
        <v>-91582.03883495145</v>
      </c>
      <c r="M54" s="372"/>
      <c r="N54" s="373"/>
      <c r="O54" s="372"/>
      <c r="P54" s="374"/>
      <c r="Q54" s="376"/>
      <c r="R54" s="369"/>
      <c r="S54" s="374">
        <f>+R54+P54+I54</f>
        <v>0</v>
      </c>
      <c r="T54" s="376"/>
      <c r="U54" s="369"/>
      <c r="V54" s="374">
        <f>+M54+F54</f>
        <v>0</v>
      </c>
    </row>
    <row r="55" spans="1:22" ht="15.75">
      <c r="A55" s="368"/>
      <c r="B55" s="377"/>
      <c r="C55" s="377"/>
      <c r="D55" s="377"/>
      <c r="E55" s="377"/>
      <c r="F55" s="377"/>
      <c r="G55" s="377"/>
      <c r="H55" s="377"/>
      <c r="I55" s="378"/>
      <c r="J55" s="379"/>
      <c r="K55" s="377"/>
      <c r="L55" s="377"/>
      <c r="M55" s="377"/>
      <c r="N55" s="377"/>
      <c r="O55" s="377"/>
      <c r="P55" s="378"/>
      <c r="Q55" s="384"/>
      <c r="R55" s="368"/>
      <c r="S55" s="378"/>
      <c r="T55" s="384"/>
      <c r="U55" s="385">
        <f>SUM(U8:U54)-7547243</f>
        <v>-676308.7346153837</v>
      </c>
      <c r="V55" s="378"/>
    </row>
    <row r="56" spans="1:19" ht="15.75">
      <c r="A56" s="386"/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8"/>
      <c r="R56" s="369"/>
      <c r="S56" s="374"/>
    </row>
    <row r="57" spans="1:19" ht="15.75">
      <c r="A57" s="386"/>
      <c r="B57" s="387"/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87"/>
      <c r="P57" s="387"/>
      <c r="Q57" s="388"/>
      <c r="R57" s="369"/>
      <c r="S57" s="374"/>
    </row>
    <row r="58" spans="1:19" ht="15.75">
      <c r="A58" s="386"/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8"/>
      <c r="R58" s="369"/>
      <c r="S58" s="374"/>
    </row>
    <row r="59" spans="1:19" ht="15.75">
      <c r="A59" s="367"/>
      <c r="B59" s="389"/>
      <c r="C59" s="389"/>
      <c r="D59" s="389"/>
      <c r="E59" s="389"/>
      <c r="F59" s="389"/>
      <c r="G59" s="389"/>
      <c r="H59" s="389"/>
      <c r="I59" s="389"/>
      <c r="J59" s="389"/>
      <c r="K59" s="389"/>
      <c r="L59" s="389"/>
      <c r="M59" s="387"/>
      <c r="N59" s="387"/>
      <c r="O59" s="387"/>
      <c r="P59" s="387"/>
      <c r="Q59" s="388"/>
      <c r="R59" s="369"/>
      <c r="S59" s="374"/>
    </row>
    <row r="60" spans="1:19" ht="15.75">
      <c r="A60" s="368"/>
      <c r="B60" s="380" t="s">
        <v>172</v>
      </c>
      <c r="C60" s="380" t="s">
        <v>176</v>
      </c>
      <c r="D60" s="380" t="s">
        <v>178</v>
      </c>
      <c r="E60" s="380" t="s">
        <v>177</v>
      </c>
      <c r="F60" s="380" t="s">
        <v>61</v>
      </c>
      <c r="G60" s="380"/>
      <c r="H60" s="380" t="s">
        <v>384</v>
      </c>
      <c r="I60" s="380" t="s">
        <v>429</v>
      </c>
      <c r="J60" s="380" t="s">
        <v>182</v>
      </c>
      <c r="K60" s="380" t="s">
        <v>386</v>
      </c>
      <c r="L60" s="380" t="s">
        <v>387</v>
      </c>
      <c r="M60" s="387"/>
      <c r="N60" s="387"/>
      <c r="O60" s="387"/>
      <c r="P60" s="387"/>
      <c r="Q60" s="388"/>
      <c r="R60" s="369"/>
      <c r="S60" s="374"/>
    </row>
    <row r="61" spans="1:19" ht="15.75">
      <c r="A61" s="367"/>
      <c r="B61" s="389"/>
      <c r="C61" s="389"/>
      <c r="D61" s="389"/>
      <c r="E61" s="389"/>
      <c r="F61" s="389"/>
      <c r="G61" s="389"/>
      <c r="H61" s="389"/>
      <c r="I61" s="389"/>
      <c r="J61" s="389"/>
      <c r="K61" s="389"/>
      <c r="L61" s="389"/>
      <c r="M61" s="387"/>
      <c r="N61" s="387"/>
      <c r="O61" s="387"/>
      <c r="P61" s="387"/>
      <c r="Q61" s="388"/>
      <c r="R61" s="369"/>
      <c r="S61" s="374"/>
    </row>
    <row r="62" spans="1:19" ht="15.75">
      <c r="A62" s="369" t="s">
        <v>392</v>
      </c>
      <c r="B62" s="372">
        <v>50135277</v>
      </c>
      <c r="C62" s="372">
        <v>32608354</v>
      </c>
      <c r="D62" s="372">
        <v>3615346</v>
      </c>
      <c r="E62" s="372">
        <v>13714083</v>
      </c>
      <c r="F62" s="372"/>
      <c r="G62" s="372"/>
      <c r="H62" s="372"/>
      <c r="I62" s="372"/>
      <c r="J62" s="372">
        <v>4426724</v>
      </c>
      <c r="K62" s="372">
        <v>9463945</v>
      </c>
      <c r="L62" s="372">
        <v>22992446</v>
      </c>
      <c r="M62" s="387"/>
      <c r="N62" s="387"/>
      <c r="O62" s="387"/>
      <c r="P62" s="387"/>
      <c r="Q62" s="390"/>
      <c r="R62" s="369"/>
      <c r="S62" s="374"/>
    </row>
    <row r="63" spans="1:19" ht="15.75">
      <c r="A63" s="369" t="s">
        <v>394</v>
      </c>
      <c r="B63" s="372">
        <f>6893239+989266</f>
        <v>7882505</v>
      </c>
      <c r="C63" s="372"/>
      <c r="D63" s="372"/>
      <c r="E63" s="372">
        <v>973664</v>
      </c>
      <c r="F63" s="372"/>
      <c r="G63" s="372"/>
      <c r="H63" s="372"/>
      <c r="I63" s="372"/>
      <c r="J63" s="372"/>
      <c r="K63" s="372"/>
      <c r="L63" s="372"/>
      <c r="M63" s="387"/>
      <c r="N63" s="387"/>
      <c r="O63" s="387"/>
      <c r="P63" s="387"/>
      <c r="Q63" s="390"/>
      <c r="R63" s="369"/>
      <c r="S63" s="374"/>
    </row>
    <row r="64" spans="1:19" ht="15.75">
      <c r="A64" s="369" t="s">
        <v>397</v>
      </c>
      <c r="B64" s="372">
        <f aca="true" t="shared" si="6" ref="B64:L64">SUM(B62:B63)</f>
        <v>58017782</v>
      </c>
      <c r="C64" s="372">
        <f t="shared" si="6"/>
        <v>32608354</v>
      </c>
      <c r="D64" s="372">
        <f t="shared" si="6"/>
        <v>3615346</v>
      </c>
      <c r="E64" s="372">
        <f t="shared" si="6"/>
        <v>14687747</v>
      </c>
      <c r="F64" s="372">
        <f t="shared" si="6"/>
        <v>0</v>
      </c>
      <c r="G64" s="372"/>
      <c r="H64" s="372">
        <f t="shared" si="6"/>
        <v>0</v>
      </c>
      <c r="I64" s="372">
        <f t="shared" si="6"/>
        <v>0</v>
      </c>
      <c r="J64" s="372">
        <f t="shared" si="6"/>
        <v>4426724</v>
      </c>
      <c r="K64" s="372">
        <f t="shared" si="6"/>
        <v>9463945</v>
      </c>
      <c r="L64" s="372">
        <f t="shared" si="6"/>
        <v>22992446</v>
      </c>
      <c r="M64" s="387"/>
      <c r="N64" s="387"/>
      <c r="O64" s="387"/>
      <c r="P64" s="387"/>
      <c r="Q64" s="390"/>
      <c r="R64" s="369"/>
      <c r="S64" s="374"/>
    </row>
    <row r="65" spans="1:19" ht="15.75">
      <c r="A65" s="369"/>
      <c r="B65" s="372"/>
      <c r="C65" s="372"/>
      <c r="D65" s="372"/>
      <c r="E65" s="372"/>
      <c r="F65" s="372"/>
      <c r="G65" s="372"/>
      <c r="H65" s="372"/>
      <c r="I65" s="372"/>
      <c r="J65" s="372"/>
      <c r="K65" s="372"/>
      <c r="L65" s="372"/>
      <c r="M65" s="387"/>
      <c r="N65" s="387"/>
      <c r="O65" s="387"/>
      <c r="P65" s="387"/>
      <c r="Q65" s="390"/>
      <c r="R65" s="369"/>
      <c r="S65" s="374"/>
    </row>
    <row r="66" spans="1:19" ht="15.75">
      <c r="A66" s="369" t="s">
        <v>398</v>
      </c>
      <c r="B66" s="372">
        <f>-39241395+4073000-2741748</f>
        <v>-37910143</v>
      </c>
      <c r="C66" s="372">
        <f>-20955000-819258</f>
        <v>-21774258</v>
      </c>
      <c r="D66" s="372">
        <f>-578143-2412769</f>
        <v>-2990912</v>
      </c>
      <c r="E66" s="372">
        <f>-9900631+1141000</f>
        <v>-8759631</v>
      </c>
      <c r="F66" s="372"/>
      <c r="G66" s="372"/>
      <c r="H66" s="372"/>
      <c r="I66" s="372"/>
      <c r="J66" s="372">
        <f>-3245078-106796</f>
        <v>-3351874</v>
      </c>
      <c r="K66" s="372">
        <f>-7521079-91000</f>
        <v>-7612079</v>
      </c>
      <c r="L66" s="372">
        <f>-16934587-2518679</f>
        <v>-19453266</v>
      </c>
      <c r="M66" s="387"/>
      <c r="N66" s="387"/>
      <c r="O66" s="387"/>
      <c r="P66" s="387"/>
      <c r="Q66" s="390"/>
      <c r="R66" s="369"/>
      <c r="S66" s="374"/>
    </row>
    <row r="67" spans="1:19" ht="15.75">
      <c r="A67" s="369"/>
      <c r="B67" s="372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87"/>
      <c r="N67" s="387"/>
      <c r="O67" s="387"/>
      <c r="P67" s="387"/>
      <c r="Q67" s="390"/>
      <c r="R67" s="369"/>
      <c r="S67" s="370"/>
    </row>
    <row r="68" spans="1:19" ht="16.5" thickBot="1">
      <c r="A68" s="369" t="s">
        <v>400</v>
      </c>
      <c r="B68" s="373">
        <f>B64+B66</f>
        <v>20107639</v>
      </c>
      <c r="C68" s="373">
        <f>C64+C66</f>
        <v>10834096</v>
      </c>
      <c r="D68" s="373">
        <f>D64+D66</f>
        <v>624434</v>
      </c>
      <c r="E68" s="373">
        <f>E64+E66</f>
        <v>5928116</v>
      </c>
      <c r="F68" s="373">
        <f>F64+F66</f>
        <v>0</v>
      </c>
      <c r="G68" s="373"/>
      <c r="H68" s="372"/>
      <c r="I68" s="373">
        <f>I64+I66</f>
        <v>0</v>
      </c>
      <c r="J68" s="373">
        <f>J64+J66</f>
        <v>1074850</v>
      </c>
      <c r="K68" s="373">
        <f>K64+K66</f>
        <v>1851866</v>
      </c>
      <c r="L68" s="373">
        <f>L64+L66</f>
        <v>3539180</v>
      </c>
      <c r="M68" s="387"/>
      <c r="N68" s="387"/>
      <c r="O68" s="387"/>
      <c r="P68" s="387"/>
      <c r="Q68" s="391"/>
      <c r="R68" s="392"/>
      <c r="S68" s="393"/>
    </row>
    <row r="69" spans="1:17" ht="16.5" thickTop="1">
      <c r="A69" s="369"/>
      <c r="B69" s="372"/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94"/>
      <c r="N69" s="394"/>
      <c r="O69" s="394"/>
      <c r="P69" s="394"/>
      <c r="Q69" s="394"/>
    </row>
    <row r="70" spans="1:17" ht="15.75">
      <c r="A70" s="369" t="s">
        <v>401</v>
      </c>
      <c r="B70" s="372"/>
      <c r="C70" s="372"/>
      <c r="D70" s="372"/>
      <c r="E70" s="372"/>
      <c r="F70" s="372"/>
      <c r="G70" s="372"/>
      <c r="H70" s="372"/>
      <c r="I70" s="372"/>
      <c r="J70" s="372"/>
      <c r="K70" s="372"/>
      <c r="L70" s="372"/>
      <c r="M70" s="394"/>
      <c r="N70" s="394"/>
      <c r="O70" s="394"/>
      <c r="P70" s="394"/>
      <c r="Q70" s="394"/>
    </row>
    <row r="71" spans="1:17" ht="15.75">
      <c r="A71" s="369"/>
      <c r="B71" s="372"/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94"/>
      <c r="N71" s="394"/>
      <c r="O71" s="394"/>
      <c r="P71" s="394"/>
      <c r="Q71" s="394"/>
    </row>
    <row r="72" spans="1:17" ht="15.75">
      <c r="A72" s="369" t="s">
        <v>402</v>
      </c>
      <c r="B72" s="372">
        <v>-8561486</v>
      </c>
      <c r="C72" s="372">
        <f>-3577915-195986</f>
        <v>-3773901</v>
      </c>
      <c r="D72" s="372">
        <f>-81994-191080</f>
        <v>-273074</v>
      </c>
      <c r="E72" s="372">
        <v>-2477467</v>
      </c>
      <c r="F72" s="372"/>
      <c r="G72" s="372"/>
      <c r="H72" s="372"/>
      <c r="I72" s="372"/>
      <c r="J72" s="372"/>
      <c r="K72" s="372"/>
      <c r="L72" s="372"/>
      <c r="M72" s="394"/>
      <c r="N72" s="394"/>
      <c r="O72" s="394"/>
      <c r="P72" s="394"/>
      <c r="Q72" s="394"/>
    </row>
    <row r="73" spans="1:17" ht="15.75">
      <c r="A73" s="369" t="s">
        <v>403</v>
      </c>
      <c r="B73" s="372">
        <v>-3022675</v>
      </c>
      <c r="C73" s="372">
        <v>-5850394</v>
      </c>
      <c r="D73" s="372">
        <v>-228370</v>
      </c>
      <c r="E73" s="372">
        <v>-860187</v>
      </c>
      <c r="F73" s="372"/>
      <c r="G73" s="372"/>
      <c r="H73" s="372"/>
      <c r="I73" s="372"/>
      <c r="J73" s="372">
        <v>-603312</v>
      </c>
      <c r="K73" s="372">
        <v>-546017</v>
      </c>
      <c r="L73" s="372">
        <v>-1628628</v>
      </c>
      <c r="M73" s="394"/>
      <c r="N73" s="394"/>
      <c r="O73" s="394"/>
      <c r="P73" s="394"/>
      <c r="Q73" s="394"/>
    </row>
    <row r="74" spans="1:17" ht="15.75">
      <c r="A74" s="369" t="s">
        <v>404</v>
      </c>
      <c r="B74" s="372">
        <f>-1516922-83066</f>
        <v>-1599988</v>
      </c>
      <c r="C74" s="372">
        <v>-2198104</v>
      </c>
      <c r="D74" s="372">
        <v>-736588</v>
      </c>
      <c r="E74" s="372">
        <v>-1711671</v>
      </c>
      <c r="F74" s="372"/>
      <c r="G74" s="372"/>
      <c r="H74" s="372"/>
      <c r="I74" s="372"/>
      <c r="J74" s="372">
        <f>-171229-167</f>
        <v>-171396</v>
      </c>
      <c r="K74" s="372">
        <v>-447153</v>
      </c>
      <c r="L74" s="372">
        <f>-1597776-458317</f>
        <v>-2056093</v>
      </c>
      <c r="M74" s="394"/>
      <c r="N74" s="394"/>
      <c r="O74" s="394"/>
      <c r="P74" s="394"/>
      <c r="Q74" s="394"/>
    </row>
    <row r="75" spans="1:17" ht="15.75">
      <c r="A75" s="369" t="s">
        <v>406</v>
      </c>
      <c r="B75" s="372">
        <v>-908402</v>
      </c>
      <c r="C75" s="372">
        <v>-263402</v>
      </c>
      <c r="D75" s="372">
        <v>-311</v>
      </c>
      <c r="E75" s="372">
        <v>-22528</v>
      </c>
      <c r="F75" s="372"/>
      <c r="G75" s="372"/>
      <c r="H75" s="372"/>
      <c r="I75" s="372"/>
      <c r="J75" s="372">
        <v>-151302</v>
      </c>
      <c r="K75" s="372">
        <v>-50962</v>
      </c>
      <c r="L75" s="372">
        <v>-189485</v>
      </c>
      <c r="M75" s="394"/>
      <c r="N75" s="394"/>
      <c r="O75" s="394"/>
      <c r="P75" s="394"/>
      <c r="Q75" s="394"/>
    </row>
    <row r="76" spans="1:17" ht="15.75">
      <c r="A76" s="369" t="s">
        <v>407</v>
      </c>
      <c r="B76" s="372">
        <f>-548000-600-39000-558079</f>
        <v>-1145679</v>
      </c>
      <c r="C76" s="372">
        <f>48000-479740-49800-370564</f>
        <v>-852104</v>
      </c>
      <c r="D76" s="372">
        <f>-234955+445990-93779+141363</f>
        <v>258619</v>
      </c>
      <c r="E76" s="372">
        <f>-100524-66332</f>
        <v>-166856</v>
      </c>
      <c r="F76" s="372"/>
      <c r="G76" s="372"/>
      <c r="H76" s="372"/>
      <c r="I76" s="372"/>
      <c r="J76" s="372">
        <f>-67982-7440-5629-94695</f>
        <v>-175746</v>
      </c>
      <c r="K76" s="372">
        <f>-131000-9000</f>
        <v>-140000</v>
      </c>
      <c r="L76" s="372">
        <v>-295198</v>
      </c>
      <c r="M76" s="394"/>
      <c r="N76" s="394"/>
      <c r="O76" s="394"/>
      <c r="P76" s="394"/>
      <c r="Q76" s="394"/>
    </row>
    <row r="77" spans="1:17" ht="15.75">
      <c r="A77" s="369" t="s">
        <v>411</v>
      </c>
      <c r="B77" s="372"/>
      <c r="C77" s="372"/>
      <c r="D77" s="372"/>
      <c r="E77" s="372"/>
      <c r="F77" s="372"/>
      <c r="G77" s="372"/>
      <c r="H77" s="372"/>
      <c r="I77" s="372"/>
      <c r="J77" s="372"/>
      <c r="K77" s="372">
        <v>-10675</v>
      </c>
      <c r="L77" s="372"/>
      <c r="M77" s="394"/>
      <c r="N77" s="394"/>
      <c r="O77" s="394"/>
      <c r="P77" s="394"/>
      <c r="Q77" s="394"/>
    </row>
    <row r="78" spans="1:17" ht="15.75">
      <c r="A78" s="369" t="s">
        <v>412</v>
      </c>
      <c r="B78" s="372">
        <v>83066</v>
      </c>
      <c r="C78" s="372">
        <v>195986</v>
      </c>
      <c r="D78" s="372">
        <v>191080</v>
      </c>
      <c r="E78" s="372"/>
      <c r="F78" s="372"/>
      <c r="G78" s="372"/>
      <c r="H78" s="372"/>
      <c r="I78" s="372"/>
      <c r="J78" s="372">
        <v>167</v>
      </c>
      <c r="K78" s="372">
        <v>41000</v>
      </c>
      <c r="L78" s="372">
        <v>458317</v>
      </c>
      <c r="M78" s="394"/>
      <c r="N78" s="394"/>
      <c r="O78" s="394"/>
      <c r="P78" s="394"/>
      <c r="Q78" s="394"/>
    </row>
    <row r="79" spans="1:17" ht="15.75">
      <c r="A79" s="369" t="s">
        <v>415</v>
      </c>
      <c r="B79" s="372"/>
      <c r="C79" s="372"/>
      <c r="D79" s="372"/>
      <c r="E79" s="372"/>
      <c r="F79" s="372"/>
      <c r="G79" s="372"/>
      <c r="H79" s="372"/>
      <c r="I79" s="372"/>
      <c r="J79" s="372"/>
      <c r="K79" s="372"/>
      <c r="L79" s="372"/>
      <c r="M79" s="394"/>
      <c r="N79" s="394"/>
      <c r="O79" s="394"/>
      <c r="P79" s="394"/>
      <c r="Q79" s="394"/>
    </row>
    <row r="80" spans="1:17" ht="15.75">
      <c r="A80" s="369"/>
      <c r="B80" s="372"/>
      <c r="C80" s="372"/>
      <c r="D80" s="372"/>
      <c r="E80" s="372"/>
      <c r="F80" s="372"/>
      <c r="G80" s="372"/>
      <c r="H80" s="372"/>
      <c r="I80" s="372"/>
      <c r="J80" s="372"/>
      <c r="K80" s="372"/>
      <c r="L80" s="372"/>
      <c r="M80" s="394"/>
      <c r="N80" s="394"/>
      <c r="O80" s="394"/>
      <c r="P80" s="394"/>
      <c r="Q80" s="394"/>
    </row>
    <row r="81" spans="1:17" ht="15.75">
      <c r="A81" s="369" t="s">
        <v>416</v>
      </c>
      <c r="B81" s="373">
        <f>SUM(B68:B80)</f>
        <v>4952475</v>
      </c>
      <c r="C81" s="373">
        <f>SUM(C68:C80)</f>
        <v>-1907823</v>
      </c>
      <c r="D81" s="373">
        <f>SUM(D68:D80)</f>
        <v>-164210</v>
      </c>
      <c r="E81" s="373">
        <f>SUM(E68:E80)</f>
        <v>689407</v>
      </c>
      <c r="F81" s="373">
        <f>SUM(F68:F80)</f>
        <v>0</v>
      </c>
      <c r="G81" s="373"/>
      <c r="H81" s="372"/>
      <c r="I81" s="373">
        <f>SUM(I68:I80)</f>
        <v>0</v>
      </c>
      <c r="J81" s="373">
        <f>SUM(J68:J80)</f>
        <v>-26739</v>
      </c>
      <c r="K81" s="373">
        <f>SUM(K68:K80)</f>
        <v>698059</v>
      </c>
      <c r="L81" s="373">
        <f>SUM(L68:L80)</f>
        <v>-171907</v>
      </c>
      <c r="M81" s="394"/>
      <c r="N81" s="394"/>
      <c r="O81" s="394"/>
      <c r="P81" s="394"/>
      <c r="Q81" s="394"/>
    </row>
    <row r="82" spans="1:17" ht="15.75">
      <c r="A82" s="369"/>
      <c r="B82" s="372"/>
      <c r="C82" s="372"/>
      <c r="D82" s="372"/>
      <c r="E82" s="372"/>
      <c r="F82" s="372"/>
      <c r="G82" s="372"/>
      <c r="H82" s="372"/>
      <c r="I82" s="372"/>
      <c r="J82" s="372"/>
      <c r="K82" s="372"/>
      <c r="L82" s="372"/>
      <c r="M82" s="394"/>
      <c r="N82" s="394"/>
      <c r="O82" s="394"/>
      <c r="P82" s="394"/>
      <c r="Q82" s="394"/>
    </row>
    <row r="83" spans="1:17" ht="15.75">
      <c r="A83" s="369" t="s">
        <v>417</v>
      </c>
      <c r="B83" s="372">
        <f>85320+55811</f>
        <v>141131</v>
      </c>
      <c r="C83" s="372"/>
      <c r="D83" s="372"/>
      <c r="E83" s="372">
        <v>1007</v>
      </c>
      <c r="F83" s="372"/>
      <c r="G83" s="372"/>
      <c r="H83" s="372"/>
      <c r="I83" s="372"/>
      <c r="J83" s="372">
        <v>1243</v>
      </c>
      <c r="K83" s="372"/>
      <c r="L83" s="372"/>
      <c r="M83" s="394"/>
      <c r="N83" s="394"/>
      <c r="O83" s="394"/>
      <c r="P83" s="394"/>
      <c r="Q83" s="394"/>
    </row>
    <row r="84" spans="1:17" ht="15.75">
      <c r="A84" s="369" t="s">
        <v>418</v>
      </c>
      <c r="B84" s="372">
        <v>341789</v>
      </c>
      <c r="C84" s="372"/>
      <c r="D84" s="372">
        <v>-113339</v>
      </c>
      <c r="E84" s="372">
        <v>-124521</v>
      </c>
      <c r="F84" s="372"/>
      <c r="G84" s="372"/>
      <c r="H84" s="372"/>
      <c r="I84" s="372"/>
      <c r="J84" s="372">
        <v>8596</v>
      </c>
      <c r="K84" s="372">
        <v>-30505</v>
      </c>
      <c r="L84" s="372"/>
      <c r="M84" s="394"/>
      <c r="N84" s="394"/>
      <c r="O84" s="394"/>
      <c r="P84" s="394"/>
      <c r="Q84" s="394"/>
    </row>
    <row r="85" spans="1:17" ht="15.75">
      <c r="A85" s="369" t="s">
        <v>419</v>
      </c>
      <c r="B85" s="372">
        <f>-1380538-141131</f>
        <v>-1521669</v>
      </c>
      <c r="C85" s="372">
        <v>-363664</v>
      </c>
      <c r="D85" s="372">
        <v>-240075</v>
      </c>
      <c r="E85" s="372">
        <v>-126000</v>
      </c>
      <c r="F85" s="372"/>
      <c r="G85" s="372"/>
      <c r="H85" s="372"/>
      <c r="I85" s="372"/>
      <c r="J85" s="372">
        <v>-2167</v>
      </c>
      <c r="K85" s="372">
        <v>-1771</v>
      </c>
      <c r="L85" s="372">
        <v>-9648</v>
      </c>
      <c r="M85" s="394"/>
      <c r="N85" s="394"/>
      <c r="O85" s="394"/>
      <c r="P85" s="394"/>
      <c r="Q85" s="394"/>
    </row>
    <row r="86" spans="1:17" ht="15.75">
      <c r="A86" s="369"/>
      <c r="B86" s="372"/>
      <c r="C86" s="372"/>
      <c r="D86" s="372"/>
      <c r="E86" s="372"/>
      <c r="F86" s="372"/>
      <c r="G86" s="372"/>
      <c r="H86" s="372"/>
      <c r="I86" s="372"/>
      <c r="J86" s="372"/>
      <c r="K86" s="372"/>
      <c r="L86" s="372"/>
      <c r="M86" s="394"/>
      <c r="N86" s="394"/>
      <c r="O86" s="394"/>
      <c r="P86" s="394"/>
      <c r="Q86" s="394"/>
    </row>
    <row r="87" spans="1:17" ht="15.75">
      <c r="A87" s="369" t="s">
        <v>420</v>
      </c>
      <c r="B87" s="373">
        <f>SUM(B81:B85)</f>
        <v>3913726</v>
      </c>
      <c r="C87" s="373">
        <f>SUM(C81:C85)</f>
        <v>-2271487</v>
      </c>
      <c r="D87" s="373">
        <f>SUM(D81:D85)</f>
        <v>-517624</v>
      </c>
      <c r="E87" s="373">
        <f>SUM(E81:E85)</f>
        <v>439893</v>
      </c>
      <c r="F87" s="373">
        <f>SUM(F81:F85)</f>
        <v>0</v>
      </c>
      <c r="G87" s="373"/>
      <c r="H87" s="372"/>
      <c r="I87" s="373">
        <f>SUM(I81:I85)</f>
        <v>0</v>
      </c>
      <c r="J87" s="373">
        <f>SUM(J81:J85)</f>
        <v>-19067</v>
      </c>
      <c r="K87" s="373">
        <f>SUM(K81:K85)</f>
        <v>665783</v>
      </c>
      <c r="L87" s="373">
        <f>SUM(L81:L85)</f>
        <v>-181555</v>
      </c>
      <c r="M87" s="394"/>
      <c r="N87" s="394"/>
      <c r="O87" s="394"/>
      <c r="P87" s="394"/>
      <c r="Q87" s="394"/>
    </row>
    <row r="88" spans="1:17" ht="15.75">
      <c r="A88" s="369"/>
      <c r="B88" s="372"/>
      <c r="C88" s="372"/>
      <c r="D88" s="372"/>
      <c r="E88" s="372"/>
      <c r="F88" s="372"/>
      <c r="G88" s="372"/>
      <c r="H88" s="372"/>
      <c r="I88" s="372"/>
      <c r="J88" s="372"/>
      <c r="K88" s="372"/>
      <c r="L88" s="372"/>
      <c r="M88" s="394"/>
      <c r="N88" s="394"/>
      <c r="O88" s="394"/>
      <c r="P88" s="394"/>
      <c r="Q88" s="394"/>
    </row>
    <row r="89" spans="1:17" ht="15.75">
      <c r="A89" s="369" t="s">
        <v>34</v>
      </c>
      <c r="B89" s="372">
        <v>-1184938</v>
      </c>
      <c r="C89" s="372">
        <v>-1</v>
      </c>
      <c r="D89" s="372">
        <v>-1</v>
      </c>
      <c r="E89" s="372"/>
      <c r="F89" s="372"/>
      <c r="G89" s="372"/>
      <c r="H89" s="372"/>
      <c r="I89" s="372"/>
      <c r="J89" s="372">
        <v>3371</v>
      </c>
      <c r="K89" s="372">
        <v>-179432</v>
      </c>
      <c r="L89" s="372">
        <v>-7104</v>
      </c>
      <c r="M89" s="394"/>
      <c r="N89" s="394"/>
      <c r="O89" s="394"/>
      <c r="P89" s="394"/>
      <c r="Q89" s="394"/>
    </row>
    <row r="90" spans="1:17" ht="15.75">
      <c r="A90" s="369"/>
      <c r="B90" s="372"/>
      <c r="C90" s="372"/>
      <c r="D90" s="372"/>
      <c r="E90" s="372"/>
      <c r="F90" s="372"/>
      <c r="G90" s="372"/>
      <c r="H90" s="372"/>
      <c r="I90" s="372"/>
      <c r="J90" s="372"/>
      <c r="K90" s="372"/>
      <c r="L90" s="372"/>
      <c r="M90" s="394"/>
      <c r="N90" s="394"/>
      <c r="O90" s="394"/>
      <c r="P90" s="394"/>
      <c r="Q90" s="394"/>
    </row>
    <row r="91" spans="1:17" ht="15.75">
      <c r="A91" s="369" t="s">
        <v>421</v>
      </c>
      <c r="B91" s="373">
        <f>B87+B89</f>
        <v>2728788</v>
      </c>
      <c r="C91" s="373">
        <f>C87+C89</f>
        <v>-2271488</v>
      </c>
      <c r="D91" s="373">
        <f>D87+D89</f>
        <v>-517625</v>
      </c>
      <c r="E91" s="373">
        <f>E87+E89</f>
        <v>439893</v>
      </c>
      <c r="F91" s="373">
        <f>F87+F89</f>
        <v>0</v>
      </c>
      <c r="G91" s="373"/>
      <c r="H91" s="372"/>
      <c r="I91" s="373">
        <f>I87+I89</f>
        <v>0</v>
      </c>
      <c r="J91" s="373">
        <f>J87+J89</f>
        <v>-15696</v>
      </c>
      <c r="K91" s="373">
        <f>K87+K89</f>
        <v>486351</v>
      </c>
      <c r="L91" s="373">
        <f>L87+L89</f>
        <v>-188659</v>
      </c>
      <c r="M91" s="394"/>
      <c r="N91" s="394"/>
      <c r="O91" s="394"/>
      <c r="P91" s="394"/>
      <c r="Q91" s="394"/>
    </row>
    <row r="92" spans="1:17" ht="15.75">
      <c r="A92" s="369"/>
      <c r="B92" s="372"/>
      <c r="C92" s="372"/>
      <c r="D92" s="372"/>
      <c r="E92" s="372"/>
      <c r="F92" s="372"/>
      <c r="G92" s="372"/>
      <c r="H92" s="372"/>
      <c r="I92" s="372"/>
      <c r="J92" s="372"/>
      <c r="K92" s="372"/>
      <c r="L92" s="372"/>
      <c r="M92" s="394"/>
      <c r="N92" s="394"/>
      <c r="O92" s="394"/>
      <c r="P92" s="394"/>
      <c r="Q92" s="394"/>
    </row>
    <row r="93" spans="1:17" ht="15.75">
      <c r="A93" s="369" t="s">
        <v>272</v>
      </c>
      <c r="B93" s="372"/>
      <c r="C93" s="372"/>
      <c r="D93" s="372"/>
      <c r="E93" s="372"/>
      <c r="F93" s="372"/>
      <c r="G93" s="372"/>
      <c r="H93" s="372"/>
      <c r="I93" s="372"/>
      <c r="J93" s="372"/>
      <c r="K93" s="372"/>
      <c r="L93" s="372"/>
      <c r="M93" s="394"/>
      <c r="N93" s="394"/>
      <c r="O93" s="394"/>
      <c r="P93" s="394"/>
      <c r="Q93" s="394"/>
    </row>
    <row r="94" spans="1:17" ht="15.75">
      <c r="A94" s="369"/>
      <c r="B94" s="372"/>
      <c r="C94" s="372"/>
      <c r="D94" s="372"/>
      <c r="E94" s="372"/>
      <c r="F94" s="372"/>
      <c r="G94" s="372"/>
      <c r="H94" s="372"/>
      <c r="I94" s="372"/>
      <c r="J94" s="372"/>
      <c r="K94" s="372"/>
      <c r="L94" s="372"/>
      <c r="M94" s="394"/>
      <c r="N94" s="394"/>
      <c r="O94" s="394"/>
      <c r="P94" s="394"/>
      <c r="Q94" s="394"/>
    </row>
    <row r="95" spans="1:17" ht="15.75">
      <c r="A95" s="369" t="s">
        <v>423</v>
      </c>
      <c r="B95" s="373">
        <f>B91+B93</f>
        <v>2728788</v>
      </c>
      <c r="C95" s="373">
        <f>C91+C93</f>
        <v>-2271488</v>
      </c>
      <c r="D95" s="373">
        <f>D91+D93</f>
        <v>-517625</v>
      </c>
      <c r="E95" s="373">
        <f>E91+E93</f>
        <v>439893</v>
      </c>
      <c r="F95" s="373">
        <f>F91+F93</f>
        <v>0</v>
      </c>
      <c r="G95" s="373"/>
      <c r="H95" s="372"/>
      <c r="I95" s="373">
        <f>I91+I93</f>
        <v>0</v>
      </c>
      <c r="J95" s="373">
        <f>J91+J93</f>
        <v>-15696</v>
      </c>
      <c r="K95" s="373">
        <f>K91+K93</f>
        <v>486351</v>
      </c>
      <c r="L95" s="373">
        <f>L91+L93</f>
        <v>-188659</v>
      </c>
      <c r="M95" s="394"/>
      <c r="N95" s="394"/>
      <c r="O95" s="394"/>
      <c r="P95" s="394"/>
      <c r="Q95" s="394"/>
    </row>
    <row r="96" spans="1:12" ht="15.75">
      <c r="A96" s="369"/>
      <c r="B96" s="369"/>
      <c r="C96" s="369"/>
      <c r="D96" s="369"/>
      <c r="E96" s="369"/>
      <c r="F96" s="369"/>
      <c r="G96" s="369"/>
      <c r="H96" s="369"/>
      <c r="I96" s="369"/>
      <c r="J96" s="369"/>
      <c r="K96" s="369"/>
      <c r="L96" s="369"/>
    </row>
    <row r="97" spans="1:12" ht="15.75">
      <c r="A97" s="368" t="s">
        <v>427</v>
      </c>
      <c r="B97" s="377"/>
      <c r="C97" s="368"/>
      <c r="D97" s="368"/>
      <c r="E97" s="368"/>
      <c r="F97" s="368"/>
      <c r="G97" s="368"/>
      <c r="H97" s="368"/>
      <c r="I97" s="368"/>
      <c r="J97" s="377"/>
      <c r="K97" s="368"/>
      <c r="L97" s="37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Nylex ( Malaysia 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Chen</dc:creator>
  <cp:keywords/>
  <dc:description/>
  <cp:lastModifiedBy>User Pre-Load</cp:lastModifiedBy>
  <cp:lastPrinted>2005-02-01T06:53:52Z</cp:lastPrinted>
  <dcterms:created xsi:type="dcterms:W3CDTF">2001-04-06T14:29:05Z</dcterms:created>
  <dcterms:modified xsi:type="dcterms:W3CDTF">2005-02-02T04:27:58Z</dcterms:modified>
  <cp:category/>
  <cp:version/>
  <cp:contentType/>
  <cp:contentStatus/>
</cp:coreProperties>
</file>